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ontabilidad\Desktop\Plantilla Declaración de Renta\"/>
    </mc:Choice>
  </mc:AlternateContent>
  <bookViews>
    <workbookView xWindow="0" yWindow="0" windowWidth="9555" windowHeight="10995" firstSheet="4" activeTab="4"/>
  </bookViews>
  <sheets>
    <sheet name="Datos Contribuyente y Detalles" sheetId="13" r:id="rId1"/>
    <sheet name="Renta Presuntiva" sheetId="11" r:id="rId2"/>
    <sheet name="Conciliacion patrimonial" sheetId="14" r:id="rId3"/>
    <sheet name="Rentas de Trabajo y Pensiones" sheetId="1" r:id="rId4"/>
    <sheet name="Rentas de capital y No Laborale" sheetId="2" r:id="rId5"/>
    <sheet name="Dividendos y Participaciones" sheetId="5" r:id="rId6"/>
    <sheet name="Imp. Ganancia Ocasional" sheetId="6" r:id="rId7"/>
    <sheet name="Ingresos que NO son declarables" sheetId="7" r:id="rId8"/>
    <sheet name="Resumen Tributario" sheetId="8" r:id="rId9"/>
    <sheet name="Anticipos y Otros" sheetId="12" r:id="rId10"/>
    <sheet name="Formulario 210" sheetId="9" r:id="rId11"/>
    <sheet name="UVT" sheetId="4" r:id="rId12"/>
    <sheet name="Tabla Renta y Retefte" sheetId="3" r:id="rId13"/>
  </sheets>
  <externalReferences>
    <externalReference r:id="rId14"/>
    <externalReference r:id="rId15"/>
  </externalReferences>
  <definedNames>
    <definedName name="_xlnm._FilterDatabase" localSheetId="1" hidden="1">'Renta Presuntiva'!#REF!</definedName>
    <definedName name="_xlnm._FilterDatabase" localSheetId="11" hidden="1">UVT!$B$15:$D$15</definedName>
    <definedName name="aaaa">[1]UVT!$B$11</definedName>
    <definedName name="_xlnm.Print_Area" localSheetId="2">'Conciliacion patrimonial'!#REF!</definedName>
    <definedName name="CE" localSheetId="2">'[1]Tabla Renta y Retefte'!$H$29:$H$39</definedName>
    <definedName name="CE">'Tabla Renta y Retefte'!$H$29:$H$39</definedName>
    <definedName name="G">'Rentas de Trabajo y Pensiones'!$G$13</definedName>
    <definedName name="SM" localSheetId="2">[1]UVT!$F$11</definedName>
    <definedName name="SM">UVT!$F$11</definedName>
    <definedName name="UVT" localSheetId="2">'[2]Tabla impto art 241'!$E$17</definedName>
    <definedName name="UVT">UVT!$B$11</definedName>
    <definedName name="UVTold" localSheetId="2">[1]UVT!$B$12</definedName>
    <definedName name="UVTold">UVT!$B$12</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7" i="2" l="1"/>
  <c r="E44" i="2"/>
  <c r="E50" i="2"/>
  <c r="E52" i="2"/>
  <c r="E53" i="2"/>
  <c r="E67" i="2"/>
  <c r="E70" i="2"/>
  <c r="E65" i="2"/>
  <c r="E62" i="2"/>
  <c r="E66" i="2"/>
  <c r="E74" i="2"/>
  <c r="E54" i="2"/>
  <c r="E57" i="2"/>
  <c r="E59" i="2"/>
  <c r="E61" i="2"/>
  <c r="E75" i="2"/>
  <c r="N49" i="9"/>
  <c r="E77" i="2"/>
  <c r="E78" i="2"/>
  <c r="E79" i="2"/>
  <c r="E81" i="2"/>
  <c r="E82" i="2"/>
  <c r="E84" i="2"/>
  <c r="E83" i="2"/>
  <c r="E85" i="2"/>
  <c r="E86" i="2"/>
  <c r="E87" i="2"/>
  <c r="E23" i="8"/>
  <c r="AF32" i="9"/>
  <c r="AF36" i="9"/>
  <c r="F31" i="8"/>
  <c r="F29" i="8"/>
  <c r="F28" i="8"/>
  <c r="F30" i="8"/>
  <c r="F32" i="8"/>
  <c r="H32" i="8"/>
  <c r="D85" i="11"/>
  <c r="D86" i="11"/>
  <c r="F19" i="8"/>
  <c r="F20" i="8"/>
  <c r="F13" i="8"/>
  <c r="F14" i="8"/>
  <c r="F15" i="8"/>
  <c r="F16" i="8"/>
  <c r="F17" i="8"/>
  <c r="F18" i="8"/>
  <c r="F21" i="8"/>
  <c r="E22" i="8"/>
  <c r="H22" i="8"/>
  <c r="D87" i="11"/>
  <c r="D88" i="11"/>
  <c r="D89" i="11"/>
  <c r="D91" i="11"/>
  <c r="D90" i="11"/>
  <c r="D92" i="11"/>
  <c r="D93" i="11"/>
  <c r="D94" i="11"/>
  <c r="AF37" i="9"/>
  <c r="AF38" i="9"/>
  <c r="AF43" i="9"/>
  <c r="D14" i="12"/>
  <c r="E18" i="1"/>
  <c r="D45" i="14"/>
  <c r="E13" i="1"/>
  <c r="E35" i="1"/>
  <c r="D38" i="1"/>
  <c r="D41" i="14"/>
  <c r="D35" i="14"/>
  <c r="E17" i="1"/>
  <c r="E23" i="1"/>
  <c r="D34" i="14"/>
  <c r="D36" i="14"/>
  <c r="D37" i="14"/>
  <c r="D38" i="14"/>
  <c r="D39" i="14"/>
  <c r="D42" i="14"/>
  <c r="D43" i="14"/>
  <c r="D44" i="14"/>
  <c r="E54" i="14"/>
  <c r="E21" i="14"/>
  <c r="E63" i="1"/>
  <c r="E65" i="1"/>
  <c r="E66" i="1"/>
  <c r="E43" i="11"/>
  <c r="D43" i="11"/>
  <c r="E12" i="7"/>
  <c r="E11" i="7"/>
  <c r="E38" i="6"/>
  <c r="E18" i="6"/>
  <c r="E63" i="2"/>
  <c r="D70" i="2"/>
  <c r="E40" i="2"/>
  <c r="D32" i="2"/>
  <c r="D29" i="2"/>
  <c r="D46" i="1"/>
  <c r="E14" i="1"/>
  <c r="E15" i="1"/>
  <c r="E16" i="1"/>
  <c r="E46" i="1"/>
  <c r="E12" i="1"/>
  <c r="E45" i="1"/>
  <c r="E44" i="1"/>
  <c r="E37" i="1"/>
  <c r="E30" i="1"/>
  <c r="E33" i="1"/>
  <c r="E36" i="1"/>
  <c r="E39" i="1"/>
  <c r="D50" i="1"/>
  <c r="D51" i="1"/>
  <c r="E51" i="1"/>
  <c r="E49" i="1"/>
  <c r="D43" i="1"/>
  <c r="D42" i="1"/>
  <c r="D40" i="1"/>
  <c r="E40" i="1"/>
  <c r="D52" i="1"/>
  <c r="E52" i="1"/>
  <c r="E53" i="1"/>
  <c r="D49" i="1"/>
  <c r="D53" i="1"/>
  <c r="E12" i="2"/>
  <c r="E15" i="2"/>
  <c r="E16" i="2"/>
  <c r="E14" i="2"/>
  <c r="E45" i="2"/>
  <c r="E19" i="1"/>
  <c r="E20" i="1"/>
  <c r="E21" i="1"/>
  <c r="E22" i="1"/>
  <c r="E30" i="6"/>
  <c r="AF22" i="9"/>
  <c r="AF23" i="9"/>
  <c r="N47" i="9"/>
  <c r="AF52" i="9"/>
  <c r="E24" i="1"/>
  <c r="E25" i="1"/>
  <c r="E26" i="1"/>
  <c r="E27" i="1"/>
  <c r="E28" i="1"/>
  <c r="E29" i="1"/>
  <c r="E38" i="1"/>
  <c r="E57" i="1"/>
  <c r="E58" i="1"/>
  <c r="E60" i="1"/>
  <c r="E67" i="1"/>
  <c r="E64" i="1"/>
  <c r="E69" i="1"/>
  <c r="E71" i="1"/>
  <c r="E72" i="1"/>
  <c r="E74" i="1"/>
  <c r="E73" i="1"/>
  <c r="E75" i="1"/>
  <c r="E76" i="1"/>
  <c r="E77" i="1"/>
  <c r="C23" i="8"/>
  <c r="AF31" i="9"/>
  <c r="E28" i="2"/>
  <c r="E29" i="2"/>
  <c r="E32" i="2"/>
  <c r="E25" i="2"/>
  <c r="E27" i="2"/>
  <c r="E36" i="2"/>
  <c r="E23" i="2"/>
  <c r="E37" i="2"/>
  <c r="E39" i="2"/>
  <c r="E41" i="2"/>
  <c r="C31" i="8"/>
  <c r="C29" i="8"/>
  <c r="C28" i="8"/>
  <c r="C30" i="8"/>
  <c r="C32" i="8"/>
  <c r="D31" i="8"/>
  <c r="D29" i="8"/>
  <c r="D28" i="8"/>
  <c r="D30" i="8"/>
  <c r="D32" i="8"/>
  <c r="E31" i="8"/>
  <c r="E29" i="8"/>
  <c r="E30" i="8"/>
  <c r="E32" i="8"/>
  <c r="G31" i="8"/>
  <c r="G30" i="8"/>
  <c r="G32" i="8"/>
  <c r="D46" i="11"/>
  <c r="D51" i="11"/>
  <c r="D47" i="11"/>
  <c r="D55" i="11"/>
  <c r="D60" i="11"/>
  <c r="D64" i="11"/>
  <c r="D66" i="11"/>
  <c r="D68" i="11"/>
  <c r="D73" i="11"/>
  <c r="D77" i="11"/>
  <c r="D84" i="11"/>
  <c r="C13" i="8"/>
  <c r="C14" i="8"/>
  <c r="C17" i="8"/>
  <c r="C19" i="8"/>
  <c r="C20" i="8"/>
  <c r="C18" i="8"/>
  <c r="C21" i="8"/>
  <c r="D13" i="8"/>
  <c r="D14" i="8"/>
  <c r="D17" i="8"/>
  <c r="D19" i="8"/>
  <c r="D21" i="8"/>
  <c r="C22" i="8"/>
  <c r="E13" i="8"/>
  <c r="E14" i="8"/>
  <c r="E15" i="8"/>
  <c r="E16" i="8"/>
  <c r="E17" i="8"/>
  <c r="E18" i="8"/>
  <c r="E19" i="8"/>
  <c r="E20" i="8"/>
  <c r="E21" i="8"/>
  <c r="E31" i="6"/>
  <c r="E32" i="6"/>
  <c r="E21" i="6"/>
  <c r="E33" i="6"/>
  <c r="E39" i="6"/>
  <c r="E40" i="6"/>
  <c r="E41" i="6"/>
  <c r="E42" i="6"/>
  <c r="AF44" i="9"/>
  <c r="AF46" i="9"/>
  <c r="D15" i="12"/>
  <c r="D16" i="12"/>
  <c r="C17" i="12"/>
  <c r="D17" i="12"/>
  <c r="E24" i="8"/>
  <c r="E55" i="1"/>
  <c r="C24" i="8"/>
  <c r="H24" i="8"/>
  <c r="E34" i="6"/>
  <c r="AF49" i="9"/>
  <c r="D18" i="12"/>
  <c r="D19" i="12"/>
  <c r="D21" i="12"/>
  <c r="C22" i="12"/>
  <c r="D22" i="12"/>
  <c r="D23" i="12"/>
  <c r="D24" i="12"/>
  <c r="D26" i="12"/>
  <c r="AF50" i="9"/>
  <c r="AF48" i="9"/>
  <c r="AF47" i="9"/>
  <c r="AF45" i="9"/>
  <c r="AF39" i="9"/>
  <c r="AF41" i="9"/>
  <c r="AF40" i="9"/>
  <c r="E20" i="5"/>
  <c r="E19" i="5"/>
  <c r="E17" i="5"/>
  <c r="E14" i="5"/>
  <c r="E18" i="5"/>
  <c r="E16" i="5"/>
  <c r="E15" i="5"/>
  <c r="E13" i="5"/>
  <c r="E12" i="5"/>
  <c r="E60" i="2"/>
  <c r="E58" i="2"/>
  <c r="E56" i="2"/>
  <c r="E55" i="2"/>
  <c r="E51" i="2"/>
  <c r="E49" i="2"/>
  <c r="E48" i="2"/>
  <c r="E47" i="2"/>
  <c r="E46" i="2"/>
  <c r="E22" i="2"/>
  <c r="E21" i="2"/>
  <c r="E20" i="2"/>
  <c r="E19" i="2"/>
  <c r="E18" i="2"/>
  <c r="E17" i="2"/>
  <c r="E13" i="2"/>
  <c r="E11" i="2"/>
  <c r="N44" i="9"/>
  <c r="N43" i="9"/>
  <c r="N42" i="9"/>
  <c r="N40" i="9"/>
  <c r="N37" i="9"/>
  <c r="N36" i="9"/>
  <c r="N35" i="9"/>
  <c r="N33" i="9"/>
  <c r="N32" i="9"/>
  <c r="N31" i="9"/>
  <c r="N26" i="9"/>
  <c r="N27" i="9"/>
  <c r="N28" i="9"/>
  <c r="N29" i="9"/>
  <c r="N30" i="9"/>
  <c r="N24" i="9"/>
  <c r="N17" i="9"/>
  <c r="N18" i="9"/>
  <c r="N21" i="9"/>
  <c r="N20" i="9"/>
  <c r="N22" i="9"/>
  <c r="E72" i="2"/>
  <c r="E34" i="2"/>
  <c r="E33" i="14"/>
  <c r="E52" i="14"/>
  <c r="E56" i="14"/>
  <c r="E22" i="5"/>
  <c r="E24" i="2"/>
  <c r="N53" i="9"/>
  <c r="AF17" i="9"/>
  <c r="G14" i="8"/>
  <c r="AF18" i="9"/>
  <c r="AF19" i="9"/>
  <c r="AF20" i="9"/>
  <c r="E30" i="5"/>
  <c r="AF21" i="9"/>
  <c r="AF24" i="9"/>
  <c r="G13" i="8"/>
  <c r="E12" i="6"/>
  <c r="AF27" i="9"/>
  <c r="AF28" i="9"/>
  <c r="AF29" i="9"/>
  <c r="AF30" i="9"/>
  <c r="C15" i="9"/>
  <c r="AE59" i="9"/>
  <c r="Y59" i="9"/>
  <c r="AC15" i="9"/>
  <c r="W15" i="9"/>
  <c r="Q15" i="9"/>
  <c r="K15" i="9"/>
  <c r="E29" i="6"/>
  <c r="E28" i="6"/>
  <c r="E27" i="6"/>
  <c r="E26" i="6"/>
  <c r="E25" i="6"/>
  <c r="E23" i="6"/>
  <c r="E22" i="6"/>
  <c r="E20" i="6"/>
  <c r="E19" i="6"/>
  <c r="E17" i="6"/>
  <c r="E16" i="6"/>
  <c r="E15" i="6"/>
  <c r="E14" i="6"/>
  <c r="E13" i="6"/>
  <c r="G24" i="8"/>
  <c r="AF42" i="9"/>
  <c r="H16" i="8"/>
  <c r="D56" i="2"/>
  <c r="N45" i="9"/>
  <c r="E42" i="5"/>
  <c r="E43" i="5"/>
  <c r="AF33" i="9"/>
  <c r="E23" i="5"/>
  <c r="E25" i="5"/>
  <c r="E24" i="5"/>
  <c r="E26" i="5"/>
  <c r="E27" i="5"/>
  <c r="E28" i="5"/>
  <c r="AF34" i="9"/>
  <c r="E31" i="5"/>
  <c r="E33" i="5"/>
  <c r="E34" i="5"/>
  <c r="E36" i="5"/>
  <c r="E35" i="5"/>
  <c r="E37" i="5"/>
  <c r="E38" i="5"/>
  <c r="E39" i="5"/>
  <c r="AF35" i="9"/>
  <c r="D70" i="11"/>
  <c r="D72" i="11"/>
  <c r="G17" i="8"/>
  <c r="G21" i="8"/>
  <c r="G22" i="8"/>
  <c r="E24" i="6"/>
  <c r="B11" i="12"/>
  <c r="E45" i="5"/>
  <c r="G23" i="8"/>
  <c r="E40" i="5"/>
  <c r="D30" i="3"/>
  <c r="D66" i="2"/>
  <c r="D74" i="2"/>
  <c r="D27" i="2"/>
  <c r="D16" i="4"/>
  <c r="C16" i="4"/>
  <c r="D12" i="4"/>
  <c r="E12" i="4"/>
  <c r="E11" i="4"/>
  <c r="AL24" i="9"/>
  <c r="E37" i="6"/>
  <c r="N19" i="9"/>
  <c r="D40" i="8"/>
  <c r="E40" i="8"/>
  <c r="F40" i="8"/>
  <c r="D39" i="8"/>
  <c r="E39" i="8"/>
  <c r="F39" i="8"/>
  <c r="D32" i="3"/>
  <c r="D33" i="3"/>
  <c r="D34" i="3"/>
  <c r="D35" i="3"/>
  <c r="D36" i="3"/>
  <c r="D31" i="3"/>
  <c r="E36" i="8"/>
  <c r="E35" i="8"/>
  <c r="E34" i="8"/>
  <c r="C15" i="4"/>
  <c r="D15" i="4"/>
  <c r="C17" i="4"/>
  <c r="D17" i="4"/>
  <c r="C18" i="4"/>
  <c r="D18" i="4"/>
  <c r="C19" i="4"/>
  <c r="D19" i="4"/>
  <c r="C20" i="4"/>
  <c r="D20" i="4"/>
  <c r="C21" i="4"/>
  <c r="D21" i="4"/>
  <c r="C22" i="4"/>
  <c r="D22" i="4"/>
  <c r="C23" i="4"/>
  <c r="D23" i="4"/>
  <c r="C24" i="4"/>
  <c r="D24" i="4"/>
  <c r="C25" i="4"/>
  <c r="D25" i="4"/>
  <c r="C26" i="4"/>
  <c r="D26" i="4"/>
  <c r="C27" i="4"/>
  <c r="D27" i="4"/>
  <c r="C28" i="4"/>
  <c r="D28" i="4"/>
  <c r="C29" i="4"/>
  <c r="D29" i="4"/>
  <c r="C30" i="4"/>
  <c r="D30" i="4"/>
  <c r="C31" i="4"/>
  <c r="D31" i="4"/>
  <c r="C32" i="4"/>
  <c r="D32" i="4"/>
  <c r="C33" i="4"/>
  <c r="D33" i="4"/>
  <c r="C34" i="4"/>
  <c r="D34" i="4"/>
  <c r="C35" i="4"/>
  <c r="D35" i="4"/>
  <c r="C36" i="4"/>
  <c r="D36" i="4"/>
  <c r="C37" i="4"/>
  <c r="D37" i="4"/>
  <c r="C38" i="4"/>
  <c r="D38" i="4"/>
  <c r="C39" i="4"/>
  <c r="D39" i="4"/>
  <c r="C40" i="4"/>
  <c r="D40" i="4"/>
  <c r="C41" i="4"/>
  <c r="D41" i="4"/>
  <c r="C42" i="4"/>
  <c r="D42" i="4"/>
  <c r="C43" i="4"/>
  <c r="D43" i="4"/>
  <c r="C44" i="4"/>
  <c r="D44" i="4"/>
  <c r="C45" i="4"/>
  <c r="D45" i="4"/>
  <c r="C46" i="4"/>
  <c r="D46" i="4"/>
  <c r="C47" i="4"/>
  <c r="D47" i="4"/>
  <c r="C48" i="4"/>
  <c r="D48" i="4"/>
  <c r="C49" i="4"/>
  <c r="D49" i="4"/>
  <c r="C50" i="4"/>
  <c r="D50" i="4"/>
  <c r="C51" i="4"/>
  <c r="D51" i="4"/>
  <c r="C52" i="4"/>
  <c r="D52" i="4"/>
  <c r="C53" i="4"/>
  <c r="D53" i="4"/>
  <c r="C54" i="4"/>
  <c r="D54" i="4"/>
  <c r="C55" i="4"/>
  <c r="D55" i="4"/>
  <c r="C56" i="4"/>
  <c r="D56" i="4"/>
  <c r="C57" i="4"/>
  <c r="D57" i="4"/>
  <c r="C58" i="4"/>
  <c r="D58" i="4"/>
  <c r="C59" i="4"/>
  <c r="D59" i="4"/>
  <c r="C60" i="4"/>
  <c r="D60" i="4"/>
  <c r="C61" i="4"/>
  <c r="D61" i="4"/>
  <c r="C62" i="4"/>
  <c r="D62" i="4"/>
  <c r="C63" i="4"/>
  <c r="D63" i="4"/>
  <c r="C64" i="4"/>
  <c r="D64" i="4"/>
  <c r="C65" i="4"/>
  <c r="D65" i="4"/>
  <c r="C66" i="4"/>
  <c r="D66" i="4"/>
  <c r="C67" i="4"/>
  <c r="D67" i="4"/>
  <c r="C68" i="4"/>
  <c r="D68" i="4"/>
  <c r="C69" i="4"/>
  <c r="D69" i="4"/>
  <c r="C70" i="4"/>
  <c r="D70" i="4"/>
  <c r="C71" i="4"/>
  <c r="D71" i="4"/>
  <c r="C72" i="4"/>
  <c r="D72" i="4"/>
  <c r="C73" i="4"/>
  <c r="D73" i="4"/>
  <c r="C74" i="4"/>
  <c r="D74" i="4"/>
  <c r="C75" i="4"/>
  <c r="D75" i="4"/>
  <c r="C76" i="4"/>
  <c r="D76" i="4"/>
  <c r="C77" i="4"/>
  <c r="D77" i="4"/>
  <c r="C78" i="4"/>
  <c r="D78" i="4"/>
  <c r="C79" i="4"/>
  <c r="D79" i="4"/>
  <c r="C80" i="4"/>
  <c r="D80" i="4"/>
  <c r="C81" i="4"/>
  <c r="D81" i="4"/>
  <c r="C82" i="4"/>
  <c r="D82" i="4"/>
  <c r="C83" i="4"/>
  <c r="D83" i="4"/>
  <c r="C84" i="4"/>
  <c r="D84" i="4"/>
  <c r="C85" i="4"/>
  <c r="D85" i="4"/>
  <c r="C86" i="4"/>
  <c r="D86" i="4"/>
  <c r="C87" i="4"/>
  <c r="D87" i="4"/>
  <c r="C88" i="4"/>
  <c r="D88" i="4"/>
  <c r="C89" i="4"/>
  <c r="D89" i="4"/>
  <c r="C90" i="4"/>
  <c r="D90" i="4"/>
  <c r="C91" i="4"/>
  <c r="D91" i="4"/>
  <c r="C92" i="4"/>
  <c r="D92" i="4"/>
  <c r="C93" i="4"/>
  <c r="D93" i="4"/>
  <c r="C94" i="4"/>
  <c r="D94" i="4"/>
  <c r="C95" i="4"/>
  <c r="D95" i="4"/>
  <c r="C96" i="4"/>
  <c r="D96" i="4"/>
  <c r="C97" i="4"/>
  <c r="D97" i="4"/>
  <c r="C98" i="4"/>
  <c r="D98" i="4"/>
  <c r="C99" i="4"/>
  <c r="D99" i="4"/>
  <c r="C100" i="4"/>
  <c r="D100" i="4"/>
  <c r="C101" i="4"/>
  <c r="D101" i="4"/>
  <c r="C102" i="4"/>
  <c r="D102" i="4"/>
  <c r="C103" i="4"/>
  <c r="D103" i="4"/>
  <c r="C104" i="4"/>
  <c r="D104" i="4"/>
  <c r="C105" i="4"/>
  <c r="D105" i="4"/>
  <c r="C106" i="4"/>
  <c r="D106" i="4"/>
  <c r="C107" i="4"/>
  <c r="D107" i="4"/>
  <c r="C108" i="4"/>
  <c r="D108" i="4"/>
  <c r="C109" i="4"/>
  <c r="D109" i="4"/>
  <c r="C110" i="4"/>
  <c r="D110" i="4"/>
  <c r="C111" i="4"/>
  <c r="D111" i="4"/>
  <c r="C112" i="4"/>
  <c r="D112" i="4"/>
  <c r="C113" i="4"/>
  <c r="D113" i="4"/>
  <c r="C114" i="4"/>
  <c r="D114" i="4"/>
  <c r="C115" i="4"/>
  <c r="D115" i="4"/>
  <c r="C116" i="4"/>
  <c r="D116" i="4"/>
  <c r="C117" i="4"/>
  <c r="D117" i="4"/>
  <c r="C118" i="4"/>
  <c r="D118" i="4"/>
  <c r="C119" i="4"/>
  <c r="D119" i="4"/>
  <c r="C120" i="4"/>
  <c r="D120" i="4"/>
  <c r="C121" i="4"/>
  <c r="D121" i="4"/>
  <c r="C122" i="4"/>
  <c r="D122" i="4"/>
  <c r="C123" i="4"/>
  <c r="D123" i="4"/>
  <c r="C124" i="4"/>
  <c r="D124" i="4"/>
  <c r="C125" i="4"/>
  <c r="D125" i="4"/>
  <c r="H15" i="8"/>
  <c r="D36" i="2"/>
  <c r="E46" i="11"/>
  <c r="E28" i="8"/>
  <c r="N34" i="9"/>
  <c r="H13" i="8"/>
  <c r="N39" i="9"/>
  <c r="N38" i="9"/>
  <c r="N41" i="9"/>
  <c r="D57" i="1"/>
  <c r="H18" i="8"/>
  <c r="N23" i="9"/>
  <c r="N48" i="9"/>
  <c r="H14" i="8"/>
  <c r="N46" i="9"/>
  <c r="H28" i="8"/>
  <c r="H17" i="8"/>
  <c r="H19" i="8"/>
  <c r="H20" i="8"/>
  <c r="H29" i="8"/>
  <c r="H30" i="8"/>
  <c r="AF26" i="9"/>
  <c r="N25" i="9"/>
  <c r="N51" i="9"/>
  <c r="N50" i="9"/>
  <c r="N52" i="9"/>
  <c r="H21" i="8"/>
  <c r="N54" i="9"/>
  <c r="AF25" i="9"/>
  <c r="E78" i="1"/>
  <c r="E79" i="1"/>
  <c r="H23" i="8"/>
  <c r="AF54" i="9"/>
  <c r="AF51" i="9"/>
  <c r="AF53" i="9"/>
  <c r="AD61" i="9"/>
</calcChain>
</file>

<file path=xl/comments1.xml><?xml version="1.0" encoding="utf-8"?>
<comments xmlns="http://schemas.openxmlformats.org/spreadsheetml/2006/main">
  <authors>
    <author>Diego Guevara</author>
    <author>diego Guevara</author>
  </authors>
  <commentList>
    <comment ref="D60" authorId="0" shapeId="0">
      <text>
        <r>
          <rPr>
            <sz val="9"/>
            <color indexed="81"/>
            <rFont val="Tahoma"/>
            <family val="2"/>
          </rPr>
          <t xml:space="preserve">Se restó la totalidad del valor patrimonial neto de esos activos suponiendo que no pudieron generar renta durante ningún mes del año </t>
        </r>
        <r>
          <rPr>
            <sz val="9"/>
            <color indexed="10"/>
            <rFont val="Tahoma"/>
            <family val="2"/>
          </rPr>
          <t>ANTERIOR.</t>
        </r>
        <r>
          <rPr>
            <sz val="9"/>
            <color indexed="81"/>
            <rFont val="Tahoma"/>
            <family val="2"/>
          </rPr>
          <t xml:space="preserve"> Pero si fueron bienes que dejaron de participar en la generación de la renta solo durante algunos meses del año </t>
        </r>
        <r>
          <rPr>
            <sz val="9"/>
            <color indexed="10"/>
            <rFont val="Tahoma"/>
            <family val="2"/>
          </rPr>
          <t>ANTERIOR</t>
        </r>
        <r>
          <rPr>
            <sz val="9"/>
            <color indexed="81"/>
            <rFont val="Tahoma"/>
            <family val="2"/>
          </rPr>
          <t>, entonces en ese caso solo se resta el valor proporcional que corresponda a esos meses en los cuales no estuvo participando en la generación de las rentas. Para esos casos, el valor inicial se dividiría entre 12 meses y se multiplica por los meses en que no participó en generar rentas (ver literal b del art. 189 del E.T.)</t>
        </r>
      </text>
    </comment>
    <comment ref="D77" authorId="0" shapeId="0">
      <text>
        <r>
          <rPr>
            <sz val="9"/>
            <color indexed="81"/>
            <rFont val="Tahoma"/>
            <family val="2"/>
          </rPr>
          <t>Si la base es negativa, este dato se toma como cero</t>
        </r>
      </text>
    </comment>
    <comment ref="C78" authorId="1" shapeId="0">
      <text>
        <r>
          <rPr>
            <sz val="9"/>
            <color indexed="81"/>
            <rFont val="Arial"/>
            <family val="2"/>
          </rPr>
          <t>Si en la depuración del patrimonio no se hubieran restado el valor neto de las acciones y/o cuotas en sociedades nacionales, entonces aquí no se sumaría ningún valor. Por tanto, a cada quien le corresponde tomar la decisión de si le conviene o no restar un determinado activo (pues es opcional hacerlo) ya que cuando lo reste, entonces en este punto tendrá que sumar las rentas gravadas obtenidas durante el año gravable con dicho activo</t>
        </r>
      </text>
    </comment>
  </commentList>
</comments>
</file>

<file path=xl/comments2.xml><?xml version="1.0" encoding="utf-8"?>
<comments xmlns="http://schemas.openxmlformats.org/spreadsheetml/2006/main">
  <authors>
    <author>Diego Guevara</author>
    <author>DIEGO</author>
  </authors>
  <commentList>
    <comment ref="D47" authorId="0" shapeId="0">
      <text>
        <r>
          <rPr>
            <sz val="9"/>
            <color indexed="81"/>
            <rFont val="Tahoma"/>
            <family val="2"/>
          </rPr>
          <t xml:space="preserve">Para que funcionen las formulas, esta cifra hay que introducirla con el signo "-" adelante
</t>
        </r>
      </text>
    </comment>
    <comment ref="D49" authorId="1" shapeId="0">
      <text>
        <r>
          <rPr>
            <sz val="9"/>
            <color indexed="81"/>
            <rFont val="Tahoma"/>
            <family val="2"/>
          </rPr>
          <t xml:space="preserve">Para que funcione las formulas, esta cifra hay que introducirla con el signo "-" adelante. Esta cifra es la que se colocaría por diferencia para logar que la cifra de la celda D </t>
        </r>
        <r>
          <rPr>
            <sz val="9"/>
            <color indexed="81"/>
            <rFont val="Tahoma"/>
            <family val="2"/>
          </rPr>
          <t>61</t>
        </r>
        <r>
          <rPr>
            <sz val="9"/>
            <color indexed="81"/>
            <rFont val="Tahoma"/>
            <family val="2"/>
          </rPr>
          <t xml:space="preserve"> quede en ceros
</t>
        </r>
      </text>
    </comment>
  </commentList>
</comments>
</file>

<file path=xl/sharedStrings.xml><?xml version="1.0" encoding="utf-8"?>
<sst xmlns="http://schemas.openxmlformats.org/spreadsheetml/2006/main" count="728" uniqueCount="569">
  <si>
    <t>DETERMINACIÓN DEL IMPUESTO CEDULAR DE RENTAS DE TRABAJO Y PENSIONES</t>
  </si>
  <si>
    <t>Cédula 1. Rentas de Trabajo</t>
  </si>
  <si>
    <t>(+) Comisiones, emolumentos eclesiásticos y compensaciones por servicios personales</t>
  </si>
  <si>
    <t>(+) Bonificaciones por retiro voluntario o indemnizaciones por despido injustificado</t>
  </si>
  <si>
    <t>(+) Retiro de aportes que no cumplieron requisitos</t>
  </si>
  <si>
    <t>(=) TOTAL INGRESOS</t>
  </si>
  <si>
    <t>Normatividad</t>
  </si>
  <si>
    <t>Valor 2017</t>
  </si>
  <si>
    <t>Concepto 030573/2015</t>
  </si>
  <si>
    <t>Oficio 014866/2005</t>
  </si>
  <si>
    <r>
      <t xml:space="preserve">(-) </t>
    </r>
    <r>
      <rPr>
        <b/>
        <sz val="11"/>
        <color theme="1"/>
        <rFont val="Calibri"/>
        <family val="2"/>
        <scheme val="minor"/>
      </rPr>
      <t>INCRGO:</t>
    </r>
    <r>
      <rPr>
        <sz val="11"/>
        <color theme="1"/>
        <rFont val="Calibri"/>
        <family val="2"/>
        <scheme val="minor"/>
      </rPr>
      <t xml:space="preserve"> Aportes obligatorios a pensiones</t>
    </r>
  </si>
  <si>
    <t>(=) TOTAL INGRESOS NETOS</t>
  </si>
  <si>
    <r>
      <t xml:space="preserve">(-) </t>
    </r>
    <r>
      <rPr>
        <b/>
        <sz val="11"/>
        <color theme="1"/>
        <rFont val="Calibri"/>
        <family val="2"/>
        <scheme val="minor"/>
      </rPr>
      <t>DEDUCCIÓN</t>
    </r>
    <r>
      <rPr>
        <sz val="11"/>
        <color theme="1"/>
        <rFont val="Calibri"/>
        <family val="2"/>
        <scheme val="minor"/>
      </rPr>
      <t xml:space="preserve">: Pagos por salud (medicina prepagada y/o seguros de salud) del trabajador, su cónyuge, sus hijos y/o dependientes </t>
    </r>
    <r>
      <rPr>
        <b/>
        <i/>
        <sz val="11"/>
        <color theme="1"/>
        <rFont val="Calibri"/>
        <family val="2"/>
        <scheme val="minor"/>
      </rPr>
      <t>(limitados a 192 UVT anuales)</t>
    </r>
  </si>
  <si>
    <t>Ingreso mensual promedio en los últimos 6 meses de vinculación laboral</t>
  </si>
  <si>
    <r>
      <rPr>
        <sz val="10.5"/>
        <rFont val="Calibri"/>
        <family val="2"/>
        <scheme val="minor"/>
      </rPr>
      <t xml:space="preserve">Aportes </t>
    </r>
    <r>
      <rPr>
        <b/>
        <i/>
        <sz val="10.5"/>
        <rFont val="Calibri"/>
        <family val="2"/>
        <scheme val="minor"/>
      </rPr>
      <t xml:space="preserve">voluntarios del trabajador, empleador o partícipe independiente </t>
    </r>
    <r>
      <rPr>
        <sz val="10.5"/>
        <rFont val="Calibri"/>
        <family val="2"/>
        <scheme val="minor"/>
      </rPr>
      <t>a Fondos de
Pensiones de jubilación e invalidez y fondos de cesantías</t>
    </r>
  </si>
  <si>
    <r>
      <rPr>
        <sz val="10.5"/>
        <rFont val="Calibri"/>
        <family val="2"/>
        <scheme val="minor"/>
      </rPr>
      <t xml:space="preserve">Aportes a </t>
    </r>
    <r>
      <rPr>
        <b/>
        <sz val="10.5"/>
        <rFont val="Calibri"/>
        <family val="2"/>
        <scheme val="minor"/>
      </rPr>
      <t>cuentas AFC</t>
    </r>
  </si>
  <si>
    <r>
      <rPr>
        <sz val="10.5"/>
        <rFont val="Calibri"/>
        <family val="2"/>
        <scheme val="minor"/>
      </rPr>
      <t xml:space="preserve">El veinticinco por ciento (25%) de la base para renta exenta
</t>
    </r>
    <r>
      <rPr>
        <i/>
        <sz val="10.5"/>
        <rFont val="Calibri"/>
        <family val="2"/>
        <scheme val="minor"/>
      </rPr>
      <t>(limitado a 2,880 UVT anuales)</t>
    </r>
  </si>
  <si>
    <r>
      <rPr>
        <sz val="11.5"/>
        <rFont val="Calibri"/>
        <family val="2"/>
        <scheme val="minor"/>
      </rPr>
      <t>(-)</t>
    </r>
    <r>
      <rPr>
        <b/>
        <sz val="11.5"/>
        <rFont val="Calibri"/>
        <family val="2"/>
        <scheme val="minor"/>
      </rPr>
      <t xml:space="preserve"> DEDUCCIÓN: </t>
    </r>
    <r>
      <rPr>
        <sz val="11.5"/>
        <rFont val="Calibri"/>
        <family val="2"/>
        <scheme val="minor"/>
      </rPr>
      <t xml:space="preserve">Gravamen a los Movimientos Financieros - GMF (4x1000) certificado
</t>
    </r>
    <r>
      <rPr>
        <b/>
        <i/>
        <sz val="11.5"/>
        <rFont val="Calibri"/>
        <family val="2"/>
        <scheme val="minor"/>
      </rPr>
      <t>(limitado al 50% del valor certificado)</t>
    </r>
  </si>
  <si>
    <r>
      <rPr>
        <sz val="11.5"/>
        <rFont val="Calibri"/>
        <family val="2"/>
        <scheme val="minor"/>
      </rPr>
      <t>(-)</t>
    </r>
    <r>
      <rPr>
        <b/>
        <sz val="11.5"/>
        <rFont val="Calibri"/>
        <family val="2"/>
        <scheme val="minor"/>
      </rPr>
      <t xml:space="preserve"> DEDUCCIÓN: </t>
    </r>
    <r>
      <rPr>
        <sz val="11.5"/>
        <rFont val="Calibri"/>
        <family val="2"/>
        <scheme val="minor"/>
      </rPr>
      <t xml:space="preserve">Aportes de cesantías realizados por los </t>
    </r>
    <r>
      <rPr>
        <b/>
        <sz val="11.5"/>
        <rFont val="Calibri"/>
        <family val="2"/>
        <scheme val="minor"/>
      </rPr>
      <t xml:space="preserve">partícipes independientes
</t>
    </r>
    <r>
      <rPr>
        <b/>
        <i/>
        <sz val="11.5"/>
        <rFont val="Calibri"/>
        <family val="2"/>
        <scheme val="minor"/>
      </rPr>
      <t>(limitado a un doceavo de los HONORARIOS Y COMISIONES y 2,500 UVT anuales)</t>
    </r>
  </si>
  <si>
    <r>
      <rPr>
        <sz val="10.5"/>
        <rFont val="Calibri"/>
        <family val="2"/>
        <scheme val="minor"/>
      </rPr>
      <t xml:space="preserve">(-)  </t>
    </r>
    <r>
      <rPr>
        <b/>
        <sz val="10.5"/>
        <rFont val="Calibri"/>
        <family val="2"/>
        <scheme val="minor"/>
      </rPr>
      <t xml:space="preserve">EXENTA: </t>
    </r>
    <r>
      <rPr>
        <sz val="10.5"/>
        <rFont val="Calibri"/>
        <family val="2"/>
        <scheme val="minor"/>
      </rPr>
      <t>Indemnizaciones (Accidente de trabajo, enfermedad, maternidad) y
gastos funerarios</t>
    </r>
  </si>
  <si>
    <t>RENTA LÍQUIDA CÉDULA DE RENTAS DE TRABAJO</t>
  </si>
  <si>
    <r>
      <rPr>
        <sz val="10.5"/>
        <rFont val="Calibri"/>
        <family val="2"/>
        <scheme val="minor"/>
      </rPr>
      <t xml:space="preserve">(-)   </t>
    </r>
    <r>
      <rPr>
        <b/>
        <sz val="10.5"/>
        <rFont val="Calibri"/>
        <family val="2"/>
        <scheme val="minor"/>
      </rPr>
      <t>EXENTA: CESANTÍAS E INTERESES SOBRE LAS CESANTÍAS RECIBIDAS (LABORAL)</t>
    </r>
  </si>
  <si>
    <t>(-) RENTA EXENTA (25%) LABORAL</t>
  </si>
  <si>
    <r>
      <rPr>
        <b/>
        <sz val="10.5"/>
        <rFont val="Calibri"/>
        <family val="2"/>
        <scheme val="minor"/>
      </rPr>
      <t xml:space="preserve">(-) RENTA EXENTA (25%): </t>
    </r>
    <r>
      <rPr>
        <sz val="10.5"/>
        <rFont val="Calibri"/>
        <family val="2"/>
        <scheme val="minor"/>
      </rPr>
      <t xml:space="preserve">De bonificaciones por retiro voluntario e indemnizaciones por despido injustificado  </t>
    </r>
    <r>
      <rPr>
        <i/>
        <sz val="10.5"/>
        <rFont val="Calibri"/>
        <family val="2"/>
        <scheme val="minor"/>
      </rPr>
      <t>(Sin ningún límite anual)</t>
    </r>
  </si>
  <si>
    <t>Pagadas por el empleador  (Renglón 09)</t>
  </si>
  <si>
    <t>Retiradas del fondo de aportes efectuados por empleadores   (Renglón 10)</t>
  </si>
  <si>
    <r>
      <t xml:space="preserve">TOPE MÁXIMO CEDULAR PARA DEDUCCIONES Y RENTAS EXENTAS
</t>
    </r>
    <r>
      <rPr>
        <b/>
        <sz val="11"/>
        <color rgb="FFFF0000"/>
        <rFont val="Calibri"/>
        <family val="2"/>
        <scheme val="minor"/>
      </rPr>
      <t>(Limitado al 40% de ingreso neto y 5.040 UVT anuales)</t>
    </r>
  </si>
  <si>
    <r>
      <t xml:space="preserve">TOTAL DEDUCCIONES Y RENTAS EXENTAS
</t>
    </r>
    <r>
      <rPr>
        <b/>
        <sz val="11"/>
        <color theme="1"/>
        <rFont val="Calibri"/>
        <family val="2"/>
        <scheme val="minor"/>
      </rPr>
      <t>(Valor bruto y suma de limites y topes individuales)</t>
    </r>
  </si>
  <si>
    <t>RENTA LÍQUIDA CÉDULA DE PENSIONES</t>
  </si>
  <si>
    <t>Renta líquida gravable (En UVT)</t>
  </si>
  <si>
    <t>Impuesto de renta (En UVT)</t>
  </si>
  <si>
    <r>
      <rPr>
        <b/>
        <sz val="11"/>
        <color rgb="FFFFFFFF"/>
        <rFont val="Calibri "/>
      </rPr>
      <t>VALOR 2017</t>
    </r>
  </si>
  <si>
    <t>CÉDULA 2. Pensiones</t>
  </si>
  <si>
    <t>(+) Pensiones de jubilación, invalidez, vejez, de sobrevivientes y sobre riesgos laborales. Indemnizaciones sustitutivas de las pensiones o las devoluciones de saldos de ahorro pensional</t>
  </si>
  <si>
    <t>E.T 337</t>
  </si>
  <si>
    <t>RENTA LÍQUIDA CEDULAR ANTES DE COMPENSACIONES</t>
  </si>
  <si>
    <t>RENTA LÍQUIDA CÉDULA DE RENTAS DE CAPITAL</t>
  </si>
  <si>
    <t>RENTA LÍQUIDA CÉDULA DE RENTAS NO LABORALES</t>
  </si>
  <si>
    <r>
      <rPr>
        <b/>
        <sz val="11"/>
        <color rgb="FFFFFFFF"/>
        <rFont val="Calibri"/>
        <family val="2"/>
        <scheme val="minor"/>
      </rPr>
      <t>VALOR 2017</t>
    </r>
  </si>
  <si>
    <r>
      <rPr>
        <sz val="11"/>
        <rFont val="Calibri"/>
        <family val="2"/>
        <scheme val="minor"/>
      </rPr>
      <t xml:space="preserve">Aportes a </t>
    </r>
    <r>
      <rPr>
        <b/>
        <sz val="11"/>
        <rFont val="Calibri"/>
        <family val="2"/>
        <scheme val="minor"/>
      </rPr>
      <t>cuentas AFC</t>
    </r>
  </si>
  <si>
    <r>
      <rPr>
        <b/>
        <sz val="11"/>
        <rFont val="Calibri"/>
        <family val="2"/>
        <scheme val="minor"/>
      </rPr>
      <t xml:space="preserve">TOTAL DEDUCCIONES Y RENTAS EXENTAS
</t>
    </r>
    <r>
      <rPr>
        <i/>
        <sz val="11"/>
        <color rgb="FF808080"/>
        <rFont val="Calibri"/>
        <family val="2"/>
        <scheme val="minor"/>
      </rPr>
      <t>(Valor bruto y suma de limites y topes individuales)</t>
    </r>
  </si>
  <si>
    <r>
      <rPr>
        <b/>
        <sz val="11"/>
        <rFont val="Calibri"/>
        <family val="2"/>
        <scheme val="minor"/>
      </rPr>
      <t xml:space="preserve">TOPE MÁXIMO CEDULAR DE DEDUCCIONES Y RENTAS EXENTAS
</t>
    </r>
    <r>
      <rPr>
        <i/>
        <sz val="11"/>
        <color rgb="FFC00000"/>
        <rFont val="Calibri"/>
        <family val="2"/>
        <scheme val="minor"/>
      </rPr>
      <t>(Limitado al 10% de base antes de deducciones y rentas exentas y 1.000 UVT anuales)</t>
    </r>
  </si>
  <si>
    <r>
      <rPr>
        <b/>
        <sz val="11"/>
        <rFont val="Calibri"/>
        <family val="2"/>
        <scheme val="minor"/>
      </rPr>
      <t xml:space="preserve">TOPE MÁXIMO DE DEDUCCIONES Y RENTAS EXENTAS
</t>
    </r>
    <r>
      <rPr>
        <i/>
        <sz val="11"/>
        <color rgb="FFC00000"/>
        <rFont val="Calibri"/>
        <family val="2"/>
        <scheme val="minor"/>
      </rPr>
      <t>(Limitado al 10% de base antes de deducciones y rentas exentas y 1.000 UVT anuales)</t>
    </r>
  </si>
  <si>
    <t>CÉDULA 3. RENTAS DE CAPITAL</t>
  </si>
  <si>
    <t>(+) Intereses y rendimientos financieros</t>
  </si>
  <si>
    <t>(+) Regalías y explotación de la propiedad intelectual</t>
  </si>
  <si>
    <t>(=) BASE ANTES DE DEDUCCIONES Y RENTAS EXENTAS</t>
  </si>
  <si>
    <r>
      <rPr>
        <sz val="11"/>
        <rFont val="Calibri"/>
        <family val="2"/>
        <scheme val="minor"/>
      </rPr>
      <t xml:space="preserve">(-)  </t>
    </r>
    <r>
      <rPr>
        <b/>
        <sz val="11"/>
        <rFont val="Calibri"/>
        <family val="2"/>
        <scheme val="minor"/>
      </rPr>
      <t xml:space="preserve">INCRGO: </t>
    </r>
    <r>
      <rPr>
        <sz val="11"/>
        <rFont val="Calibri"/>
        <family val="2"/>
        <scheme val="minor"/>
      </rPr>
      <t>Aportes obligatorios a salud</t>
    </r>
  </si>
  <si>
    <r>
      <rPr>
        <sz val="11"/>
        <rFont val="Calibri"/>
        <family val="2"/>
        <scheme val="minor"/>
      </rPr>
      <t xml:space="preserve">(-) </t>
    </r>
    <r>
      <rPr>
        <b/>
        <sz val="11"/>
        <rFont val="Calibri"/>
        <family val="2"/>
        <scheme val="minor"/>
      </rPr>
      <t xml:space="preserve">INCRGO: </t>
    </r>
    <r>
      <rPr>
        <sz val="11"/>
        <rFont val="Calibri"/>
        <family val="2"/>
        <scheme val="minor"/>
      </rPr>
      <t>Aportes obligatorios a pensiones</t>
    </r>
  </si>
  <si>
    <r>
      <t xml:space="preserve">(-) </t>
    </r>
    <r>
      <rPr>
        <b/>
        <sz val="11"/>
        <rFont val="Calibri"/>
        <family val="2"/>
        <scheme val="minor"/>
      </rPr>
      <t xml:space="preserve">COSTOS: </t>
    </r>
    <r>
      <rPr>
        <sz val="11"/>
        <rFont val="Calibri"/>
        <family val="2"/>
        <scheme val="minor"/>
      </rPr>
      <t>Procedentes y debidamente soportados</t>
    </r>
  </si>
  <si>
    <t>E.T 339</t>
  </si>
  <si>
    <r>
      <rPr>
        <b/>
        <sz val="11"/>
        <rFont val="Calibri"/>
        <family val="2"/>
        <scheme val="minor"/>
      </rPr>
      <t>(-) EXENTA: APORTES A FONDOS DE PENSIONES y/o CUENTAS AFC 
(</t>
    </r>
    <r>
      <rPr>
        <b/>
        <i/>
        <sz val="11"/>
        <rFont val="Calibri"/>
        <family val="2"/>
        <scheme val="minor"/>
      </rPr>
      <t>limitado a un 30% de los ingresos tributarios y hasta 3,800 UVT anuales)</t>
    </r>
  </si>
  <si>
    <r>
      <t xml:space="preserve">Aportes </t>
    </r>
    <r>
      <rPr>
        <b/>
        <i/>
        <sz val="11"/>
        <rFont val="Calibri"/>
        <family val="2"/>
        <scheme val="minor"/>
      </rPr>
      <t xml:space="preserve">voluntarios del partícipe independiente </t>
    </r>
    <r>
      <rPr>
        <sz val="11"/>
        <rFont val="Calibri"/>
        <family val="2"/>
        <scheme val="minor"/>
      </rPr>
      <t>a Fondos de Pensiones de jubilación e invalidez y fondos de cesantías</t>
    </r>
  </si>
  <si>
    <r>
      <rPr>
        <b/>
        <sz val="11"/>
        <rFont val="Calibri"/>
        <family val="2"/>
        <scheme val="minor"/>
      </rPr>
      <t xml:space="preserve">TOTAL DEDUCCIONES Y RENTAS EXENTAS
</t>
    </r>
    <r>
      <rPr>
        <b/>
        <i/>
        <sz val="11"/>
        <rFont val="Calibri"/>
        <family val="2"/>
        <scheme val="minor"/>
      </rPr>
      <t>(Valor bruto y suma de limites y topes individuales)</t>
    </r>
  </si>
  <si>
    <t>DETERMINACIÓN DEL IMPUESTO CEDULAR DE RENTAS DE CAPITAL Y NO LABORALES</t>
  </si>
  <si>
    <t>Los honorarios solo
pueden estar en una cédula (ET 340)</t>
  </si>
  <si>
    <t>(+) Indemnizaciones por daño emergente</t>
  </si>
  <si>
    <t>(=) TOTAL INGRESOS POR RENTAS NO LABORALES</t>
  </si>
  <si>
    <t>Oficio 004884/2017</t>
  </si>
  <si>
    <r>
      <t xml:space="preserve">(-) </t>
    </r>
    <r>
      <rPr>
        <b/>
        <sz val="11"/>
        <rFont val="Calibri"/>
        <family val="2"/>
        <scheme val="minor"/>
      </rPr>
      <t xml:space="preserve">COSTOS: </t>
    </r>
    <r>
      <rPr>
        <sz val="11"/>
        <rFont val="Calibri"/>
        <family val="2"/>
        <scheme val="minor"/>
      </rPr>
      <t>Costo fiscal de activos fijos menos de 2 años</t>
    </r>
  </si>
  <si>
    <t>CÉDULA 4. RENTAS NO LABORALES</t>
  </si>
  <si>
    <t>VALOR 2017</t>
  </si>
  <si>
    <r>
      <rPr>
        <sz val="11"/>
        <rFont val="Calibri"/>
        <family val="2"/>
        <scheme val="minor"/>
      </rPr>
      <t>(-)</t>
    </r>
    <r>
      <rPr>
        <b/>
        <sz val="11"/>
        <rFont val="Calibri"/>
        <family val="2"/>
        <scheme val="minor"/>
      </rPr>
      <t xml:space="preserve"> INCRGO: </t>
    </r>
    <r>
      <rPr>
        <sz val="11"/>
        <rFont val="Calibri"/>
        <family val="2"/>
        <scheme val="minor"/>
      </rPr>
      <t xml:space="preserve">Retiros de cesantías de Fondo de cesantías de aportes efectuados por  </t>
    </r>
    <r>
      <rPr>
        <b/>
        <sz val="11"/>
        <rFont val="Calibri"/>
        <family val="2"/>
        <scheme val="minor"/>
      </rPr>
      <t>partícipes</t>
    </r>
    <r>
      <rPr>
        <vertAlign val="superscript"/>
        <sz val="11"/>
        <rFont val="Calibri"/>
        <family val="2"/>
        <scheme val="minor"/>
      </rPr>
      <t xml:space="preserve"> </t>
    </r>
    <r>
      <rPr>
        <b/>
        <sz val="11"/>
        <rFont val="Calibri"/>
        <family val="2"/>
        <scheme val="minor"/>
      </rPr>
      <t xml:space="preserve">independientes </t>
    </r>
    <r>
      <rPr>
        <b/>
        <i/>
        <sz val="11"/>
        <rFont val="Calibri"/>
        <family val="2"/>
        <scheme val="minor"/>
      </rPr>
      <t>(sin limitación por tratarse de un reintegro de capital)</t>
    </r>
  </si>
  <si>
    <r>
      <rPr>
        <sz val="11"/>
        <rFont val="Calibri"/>
        <family val="2"/>
        <scheme val="minor"/>
      </rPr>
      <t xml:space="preserve">(-) </t>
    </r>
    <r>
      <rPr>
        <b/>
        <sz val="11"/>
        <rFont val="Calibri"/>
        <family val="2"/>
        <scheme val="minor"/>
      </rPr>
      <t xml:space="preserve">INCRGO: </t>
    </r>
    <r>
      <rPr>
        <sz val="11"/>
        <rFont val="Calibri"/>
        <family val="2"/>
        <scheme val="minor"/>
      </rPr>
      <t xml:space="preserve">Indemnizaciones por daño emergente </t>
    </r>
    <r>
      <rPr>
        <b/>
        <sz val="11"/>
        <rFont val="Calibri"/>
        <family val="2"/>
        <scheme val="minor"/>
      </rPr>
      <t>(</t>
    </r>
    <r>
      <rPr>
        <b/>
        <i/>
        <sz val="11"/>
        <rFont val="Calibri"/>
        <family val="2"/>
        <scheme val="minor"/>
      </rPr>
      <t>que cumplan requisitos)</t>
    </r>
  </si>
  <si>
    <t>(+) Retiros de cesantías de fondos por aportes efectuados por partícipes independientes</t>
  </si>
  <si>
    <t>(+) Venta de activos poseídos menos de 2 años</t>
  </si>
  <si>
    <t>(+) Recuperación de deducciones por venta de activos de 2 años o más</t>
  </si>
  <si>
    <r>
      <rPr>
        <b/>
        <sz val="11"/>
        <rFont val="Calibri"/>
        <family val="2"/>
        <scheme val="minor"/>
      </rPr>
      <t xml:space="preserve">(-) EXENTA: APORTES A FONDOS DE PENSIONES y/o CUENTAS AFC
 </t>
    </r>
    <r>
      <rPr>
        <b/>
        <i/>
        <sz val="11"/>
        <rFont val="Calibri"/>
        <family val="2"/>
        <scheme val="minor"/>
      </rPr>
      <t>(limitado a un 30% de los ingresos tributarios y hasta 3,800 UVT anuales)</t>
    </r>
  </si>
  <si>
    <r>
      <rPr>
        <b/>
        <sz val="11"/>
        <rFont val="Calibri"/>
        <family val="2"/>
        <scheme val="minor"/>
      </rPr>
      <t xml:space="preserve">(-) DEDUCCIÓN: </t>
    </r>
    <r>
      <rPr>
        <sz val="11"/>
        <rFont val="Calibri"/>
        <family val="2"/>
        <scheme val="minor"/>
      </rPr>
      <t xml:space="preserve">Aportes de cesantías realizados por los  </t>
    </r>
    <r>
      <rPr>
        <b/>
        <sz val="11"/>
        <rFont val="Calibri"/>
        <family val="2"/>
        <scheme val="minor"/>
      </rPr>
      <t xml:space="preserve">partícipes independientes </t>
    </r>
    <r>
      <rPr>
        <i/>
        <sz val="11"/>
        <rFont val="Calibri"/>
        <family val="2"/>
        <scheme val="minor"/>
      </rPr>
      <t>(limitado a un doceavo de los HONORARIOS y 2,500 UVT anuales)</t>
    </r>
  </si>
  <si>
    <t>Artículo 241 Inciso 1  Rentas de Trabajo y Pensiones</t>
  </si>
  <si>
    <t>Artículo 241 Inciso 2 Rentas de Capital y No Laborales</t>
  </si>
  <si>
    <t>Rango</t>
  </si>
  <si>
    <t>Porcentaje</t>
  </si>
  <si>
    <t>UVT-</t>
  </si>
  <si>
    <t>UVT+</t>
  </si>
  <si>
    <t>Artículo 383 Retefuente Asalariados</t>
  </si>
  <si>
    <t>UVT</t>
  </si>
  <si>
    <t>Valor</t>
  </si>
  <si>
    <t>Cantidad UVT</t>
  </si>
  <si>
    <t>Año</t>
  </si>
  <si>
    <t>Valor UVT</t>
  </si>
  <si>
    <t xml:space="preserve">Porcentaje </t>
  </si>
  <si>
    <t>UVT MENOS</t>
  </si>
  <si>
    <t>UVT MAS</t>
  </si>
  <si>
    <t>IMPUESTO DE RENTA CÉDULAS 1 Y 2</t>
  </si>
  <si>
    <r>
      <rPr>
        <b/>
        <sz val="11"/>
        <rFont val="Calibri"/>
        <family val="2"/>
        <scheme val="minor"/>
      </rPr>
      <t xml:space="preserve">TOTAL RENTA LÍQUIDA CÉDULAS 3 y 4
</t>
    </r>
    <r>
      <rPr>
        <b/>
        <i/>
        <sz val="11"/>
        <rFont val="Calibri"/>
        <family val="2"/>
        <scheme val="minor"/>
      </rPr>
      <t>(Las pérdidas de las rentas líquidas cedulares no se suman para efectos de determinar la renta líquida gravable)</t>
    </r>
  </si>
  <si>
    <t>Form. 210, Renglón 69</t>
  </si>
  <si>
    <t>(=) TOTAL DIVIDENDOS Y PARTICIPACIONES RECIBIDAS</t>
  </si>
  <si>
    <t>(=) TOTAL DIVIDENDOS Y PARTICIPACIONES RECIBIDAS NETAS</t>
  </si>
  <si>
    <r>
      <t xml:space="preserve">(-) </t>
    </r>
    <r>
      <rPr>
        <b/>
        <sz val="11"/>
        <rFont val="Calibri"/>
        <family val="2"/>
        <scheme val="minor"/>
      </rPr>
      <t>INCRGO:</t>
    </r>
    <r>
      <rPr>
        <sz val="11"/>
        <rFont val="Calibri"/>
        <family val="2"/>
        <scheme val="minor"/>
      </rPr>
      <t xml:space="preserve"> Dividendos y participaciones "no gravados" de periodos anteriores a 2017</t>
    </r>
  </si>
  <si>
    <t>CÉDULA 5. DIVIDENDOS Y PARTICIPACIONES</t>
  </si>
  <si>
    <t>Renta líquida subcédula 1</t>
  </si>
  <si>
    <t>(I) Impuesto de renta ordinario subcédula 1</t>
  </si>
  <si>
    <t>Renta líquida subcédula 2 (35%)</t>
  </si>
  <si>
    <t>(II) Impuesto de renta ordinario subcédula 2 (35%)</t>
  </si>
  <si>
    <t>DETERMINACIÓN DEL IMPUESTO CEDULAR DIVIDENDOS Y PARTICIPACIONES</t>
  </si>
  <si>
    <t>porcentaje</t>
  </si>
  <si>
    <t>UVT menos</t>
  </si>
  <si>
    <t>UVT mas</t>
  </si>
  <si>
    <t>Renta líquida subcédula 2</t>
  </si>
  <si>
    <t>E.T 343, Num. 1</t>
  </si>
  <si>
    <t>DETERMINACIÓN DEL IMPUESTO DE GANANCIA OCASIONAL</t>
  </si>
  <si>
    <t xml:space="preserve"> </t>
  </si>
  <si>
    <t>GANANCIA OCASIONAL</t>
  </si>
  <si>
    <t>(+) Venta de activos poseídos 2 años o más</t>
  </si>
  <si>
    <t>DETALLE DE LA UTILIDAD</t>
  </si>
  <si>
    <r>
      <t xml:space="preserve"> Recuperación de deducciones </t>
    </r>
    <r>
      <rPr>
        <b/>
        <i/>
        <sz val="11"/>
        <rFont val="Calibri"/>
        <family val="2"/>
        <scheme val="minor"/>
      </rPr>
      <t>(Limitada a quienes llevan contabilidad)</t>
    </r>
  </si>
  <si>
    <t>E.T  196, 128 y 67</t>
  </si>
  <si>
    <t>IMPUESTO DE RENTA CÉDULAS 3 Y 4</t>
  </si>
  <si>
    <t>IMPUESTO DE GANANCIA OCASIONAL (10%)</t>
  </si>
  <si>
    <t>E.T 314</t>
  </si>
  <si>
    <t>INGRESOS QUE NO HACEN PARTE DE LA DECLARACIÓN DE RENTA AÑO 2017</t>
  </si>
  <si>
    <t>E.T  126-1, Par . 3</t>
  </si>
  <si>
    <t>E.T  126-4, Inc . 4</t>
  </si>
  <si>
    <t>C1: RENTAS
DE TRABAJO</t>
  </si>
  <si>
    <t>TOTAL</t>
  </si>
  <si>
    <t>IMPUESTO DE RENTA</t>
  </si>
  <si>
    <r>
      <rPr>
        <b/>
        <sz val="11"/>
        <rFont val="Calibri"/>
        <family val="2"/>
        <scheme val="minor"/>
      </rPr>
      <t>RETIRO DE APORTES VOLUNTARIOS</t>
    </r>
    <r>
      <rPr>
        <sz val="11"/>
        <rFont val="Calibri"/>
        <family val="2"/>
        <scheme val="minor"/>
      </rPr>
      <t xml:space="preserve">: Los retiros, parciales o totales, de aportes y rendimientos de </t>
    </r>
    <r>
      <rPr>
        <b/>
        <sz val="11"/>
        <rFont val="Calibri"/>
        <family val="2"/>
        <scheme val="minor"/>
      </rPr>
      <t>fondos de pensiones</t>
    </r>
    <r>
      <rPr>
        <sz val="11"/>
        <rFont val="Calibri"/>
        <family val="2"/>
        <scheme val="minor"/>
      </rPr>
      <t xml:space="preserve"> de jubilación e invalidez que cumplan con el período de permanencia mínimo exigido o que se destinen para los fines autorizados</t>
    </r>
  </si>
  <si>
    <r>
      <rPr>
        <b/>
        <sz val="11"/>
        <rFont val="Calibri"/>
        <family val="2"/>
        <scheme val="minor"/>
      </rPr>
      <t>RETIRO DE CUENTAS AFC:</t>
    </r>
    <r>
      <rPr>
        <sz val="11"/>
        <rFont val="Calibri"/>
        <family val="2"/>
        <scheme val="minor"/>
      </rPr>
      <t xml:space="preserve"> Los retiros, parciales o totales, de aportes y rendimientos de
▪  cuentas de ahorro AFC que cumplan con el período de permanencia mínimo exigido o que se destinen para los fines autorizados</t>
    </r>
  </si>
  <si>
    <t>RESUMEN TRIBUTARIO: IMPUESTO DE RENTA AÑO GRAVABLE 2017</t>
  </si>
  <si>
    <r>
      <rPr>
        <b/>
        <sz val="11"/>
        <rFont val="Calibri"/>
        <family val="2"/>
        <scheme val="minor"/>
      </rPr>
      <t>C2:
PENSIONES</t>
    </r>
  </si>
  <si>
    <r>
      <rPr>
        <b/>
        <sz val="11"/>
        <rFont val="Calibri"/>
        <family val="2"/>
        <scheme val="minor"/>
      </rPr>
      <t>C3: RENTAS
DE CAPITAL</t>
    </r>
  </si>
  <si>
    <r>
      <rPr>
        <b/>
        <sz val="11"/>
        <rFont val="Calibri"/>
        <family val="2"/>
        <scheme val="minor"/>
      </rPr>
      <t>C4: RENTAS NO
LABORALES</t>
    </r>
  </si>
  <si>
    <r>
      <rPr>
        <b/>
        <sz val="11"/>
        <rFont val="Calibri"/>
        <family val="2"/>
        <scheme val="minor"/>
      </rPr>
      <t>C5: DIVIDENDOS Y
PARTICIPACIONES</t>
    </r>
  </si>
  <si>
    <t>(+) TOTAL DE INGRESOS</t>
  </si>
  <si>
    <t>(-) INCRNGO</t>
  </si>
  <si>
    <t>(-) COSTOS</t>
  </si>
  <si>
    <t>(-) GASTOS</t>
  </si>
  <si>
    <t>(=) INGRESOS NETOS</t>
  </si>
  <si>
    <t>(-) DEDUCCIONES</t>
  </si>
  <si>
    <t>(-) RENTAS EXENTAS</t>
  </si>
  <si>
    <t>(+) EXCESO DE BENEFICIOS</t>
  </si>
  <si>
    <t>(=) RENTA LÍQUIDA CEDULAR</t>
  </si>
  <si>
    <t>(=) RENTA LÍQUIDA PARA RENTA</t>
  </si>
  <si>
    <t>(=) TOTAL INGRESOS QUE NO HACEN PARTE DE LA DECLARACIÓN</t>
  </si>
  <si>
    <t>(=) IMPUESTO DE GANANCIA OCASIONAL</t>
  </si>
  <si>
    <t>NO APLICA</t>
  </si>
  <si>
    <t>(=) INGRESOS SUJETOS A GANANCIA OCASIONAL</t>
  </si>
  <si>
    <t xml:space="preserve">Declaración de Renta y Complementario 
Personas Naturales y Asimiladas de Residentes y Sucesiones Ilíquidas de Causantes Residentes 
</t>
  </si>
  <si>
    <t>Privada</t>
  </si>
  <si>
    <t>1. Año</t>
  </si>
  <si>
    <r>
      <t xml:space="preserve">4. Número de formulario </t>
    </r>
    <r>
      <rPr>
        <b/>
        <sz val="10"/>
        <color rgb="FF000000"/>
        <rFont val="Arial"/>
        <family val="2"/>
      </rPr>
      <t>000000000001</t>
    </r>
  </si>
  <si>
    <t>Datos del declarante</t>
  </si>
  <si>
    <t>5. No. de Identificación Tributaria (NIT)</t>
  </si>
  <si>
    <t>6. DV</t>
  </si>
  <si>
    <t>7. Primer apellido</t>
  </si>
  <si>
    <t>8. Segundo apellido</t>
  </si>
  <si>
    <t>9. Primer nombre</t>
  </si>
  <si>
    <t>10. Otros nombres</t>
  </si>
  <si>
    <t>12. Cód. Dirección seccional</t>
  </si>
  <si>
    <t>24. Actividad económica</t>
  </si>
  <si>
    <t>Si es una corrección indique:</t>
  </si>
  <si>
    <t>25. Cód.</t>
  </si>
  <si>
    <t>26. No. Formulario anterior</t>
  </si>
  <si>
    <t>27. Fracción año gravable 
2018 (Marque “X”)</t>
  </si>
  <si>
    <t>28. Si es beneficiario de un convenio para evitar la doble tributación (Marque “X”)</t>
  </si>
  <si>
    <t>Patrimonio</t>
  </si>
  <si>
    <t>Patrimonio bruto</t>
  </si>
  <si>
    <t>Renta por dividendos y participaciones</t>
  </si>
  <si>
    <t>Dividendos y participaciones 2016 y anteriores, capitalizaciones, art 36-3 E:T. y distribución de beneficios de las ECE, art. 893 E.T.</t>
  </si>
  <si>
    <t>Deudas</t>
  </si>
  <si>
    <t>Ingresos no constitutivos de renta</t>
  </si>
  <si>
    <t>Total patrimonio líquido (29 - 30)</t>
  </si>
  <si>
    <t>Rentas de trabajo</t>
  </si>
  <si>
    <t>Ingresos brutos por rentas de trabajo (art 103 E.T.)</t>
  </si>
  <si>
    <t>1a. Subcédula Año 2017 y siguientes Numeral 3 art. 49 del E.T.</t>
  </si>
  <si>
    <t>Cesantias</t>
  </si>
  <si>
    <t>2a. Subcédula Año 2017 y siguientes Parágrafo 2 art. 49 del E.T.</t>
  </si>
  <si>
    <t>Primas</t>
  </si>
  <si>
    <t>Renta líquida pasiva dividendos - Entidades controladas del exterior - ECE y/o recibidos del exterior</t>
  </si>
  <si>
    <t>Rentas exentas de trabajo y deducciones imputables</t>
  </si>
  <si>
    <t>Convenio</t>
  </si>
  <si>
    <t>Rentas líquidas gravables de dividendos y participaciones (69+70+71+72-73)</t>
  </si>
  <si>
    <t>Renta líquida cedular de trabajo (34 -36)</t>
  </si>
  <si>
    <t>Renta</t>
  </si>
  <si>
    <t>Total rentas líquidas cedulares (sume 37+42+53+66+74)</t>
  </si>
  <si>
    <t>Renta de pensiones</t>
  </si>
  <si>
    <t>Ingresos brutos por rentas de pensiones del país y del exterior</t>
  </si>
  <si>
    <t>Renta presuntiva</t>
  </si>
  <si>
    <t>Ganancia Ocasional</t>
  </si>
  <si>
    <t>Ingresos por ganancias ocasionales del país y del exterior</t>
  </si>
  <si>
    <t>Renta liquida (38 - 39)</t>
  </si>
  <si>
    <t>Costos por ganancias ocasionales</t>
  </si>
  <si>
    <t>Rentas exentas de pensiones</t>
  </si>
  <si>
    <t>Ganancias ocasionales no gravadas y exentas</t>
  </si>
  <si>
    <t>Renta líquida cedular de pensiones (40 - 41)</t>
  </si>
  <si>
    <t>Ganancias ocasionales gravables (77-78-79)</t>
  </si>
  <si>
    <t>Rentas de capital</t>
  </si>
  <si>
    <t>Ingresos brutos rentas de capital</t>
  </si>
  <si>
    <t>convenio</t>
  </si>
  <si>
    <t>Liquidación privada</t>
  </si>
  <si>
    <t>Impuesto sobre las rentas líquidas cedulares</t>
  </si>
  <si>
    <t>Impuesto sobre la renta liquida cedular de trabajo y pensiones</t>
  </si>
  <si>
    <t>Impuesto sobre la renta liquida cedular de capital y no laboral</t>
  </si>
  <si>
    <t>Costos y gastos procedentes</t>
  </si>
  <si>
    <t>Impuesto sobre la renta líquida por dividendos y participaciones año 2016 y anteriores y distribución de beneficios de las ECE</t>
  </si>
  <si>
    <t>Impuesto sobre la renta por dividendos y participaciones año 2017 y siguientes, 1a, Subcédula</t>
  </si>
  <si>
    <t>Rentas líquidas pasivas de capital - Entidades controladas del exterior</t>
  </si>
  <si>
    <t>Impuesto sobre la renta por dividendos y participaciones año 2017 y siguientes, 2a. Subcédula, sobre Rentas líquidas pasivas por dividendos - ECE y sobre dividendos recibidos del exterior</t>
  </si>
  <si>
    <t>Rentas exentas y deducciones imputables a las rentas de capital</t>
  </si>
  <si>
    <t>Impuesto sobre la renta presuntiva</t>
  </si>
  <si>
    <t>Renta liquida ordinaria del ejercicio (43+47-44-45-49), si el resultado es negativo, escriba cero(0)</t>
  </si>
  <si>
    <t>Total impuesto sobre la renta liquída</t>
  </si>
  <si>
    <t>Pérdida líquida del ejercicio (44+45+49-43-47), si el resultado es negativo, escriba cero (0)</t>
  </si>
  <si>
    <t>Descuentos</t>
  </si>
  <si>
    <t>Impuestos pagados en el exterior</t>
  </si>
  <si>
    <t>Compensación por pérdidas de ejercicios anteriores</t>
  </si>
  <si>
    <t>Donaciones</t>
  </si>
  <si>
    <t>Otros</t>
  </si>
  <si>
    <t>Ingresos brutos rentas no laborales</t>
  </si>
  <si>
    <t>Total descuentos tributarios (sume 89 a 91)</t>
  </si>
  <si>
    <t>Rentas no laborales</t>
  </si>
  <si>
    <t>Devoluciones, rebajas y descuentos</t>
  </si>
  <si>
    <t>Impuesto neto de renta (88-92)</t>
  </si>
  <si>
    <t>Impuesto de ganancias ocasionales</t>
  </si>
  <si>
    <t>Descuento por impuestos pagados en el exterior por ganancias ocasionales</t>
  </si>
  <si>
    <t>Total impuesto a cargo (93+94-95)</t>
  </si>
  <si>
    <t>Rentas líquidas pasivas no laborales - Entidades controladas del exterior</t>
  </si>
  <si>
    <t>Anticipo renta liquidado año gravable anterior</t>
  </si>
  <si>
    <t>Rentas exentas y deducciones imputables a las rentas no laborales</t>
  </si>
  <si>
    <t>Saldo a favor del año gravable anterior sin solicitud de devolución y/o compensación</t>
  </si>
  <si>
    <t>Rentas exentas no laborales y deducciones imputables (limitadas)</t>
  </si>
  <si>
    <t>Retenciones año gravable a declarar</t>
  </si>
  <si>
    <t>Renta líquida ordinaria del ejercicio (54+59-55-56-57-61), si el resultado es negativo, escriba cero (0)</t>
  </si>
  <si>
    <t>Anticipo renta para el año gravable siguiente</t>
  </si>
  <si>
    <t>Pérdida líquida del ejercicio (55+56+57+61-54-59), si el resultado es negativo, escriba cero (0)</t>
  </si>
  <si>
    <t>Saldo a pagar por impuesto (96+100-97-98-99)</t>
  </si>
  <si>
    <t>Compensaciones</t>
  </si>
  <si>
    <t>Sanciones</t>
  </si>
  <si>
    <t>Rentas líquidas gravables no laborales</t>
  </si>
  <si>
    <t>Total saldo a pagar (96+100+102-97-98-99)</t>
  </si>
  <si>
    <t>105. No. Identificación Signatario</t>
  </si>
  <si>
    <t>106. D.V.</t>
  </si>
  <si>
    <t>107. No. Identificación dependiente</t>
  </si>
  <si>
    <t>108. Parentesco</t>
  </si>
  <si>
    <t>981. Cód. Representación</t>
  </si>
  <si>
    <t xml:space="preserve">
997 Espacio exclusivo para el sello de la entidad recaudadora</t>
  </si>
  <si>
    <t>Firma del declarante o de quien lo representa</t>
  </si>
  <si>
    <t>980. Pago Total $</t>
  </si>
  <si>
    <t xml:space="preserve">
996 Espacio para el número interno de la DIAN / Adhesivo</t>
  </si>
  <si>
    <t>982 Código Contador</t>
  </si>
  <si>
    <t>Firma contador</t>
  </si>
  <si>
    <t>994 Con salvedades</t>
  </si>
  <si>
    <t>983 No. Tarjeta profesional</t>
  </si>
  <si>
    <t xml:space="preserve">
|</t>
  </si>
  <si>
    <t>(III) Impuesto de renta ordinario subcédula 2</t>
  </si>
  <si>
    <t>DATOS 2017</t>
  </si>
  <si>
    <t>DATOS 2016</t>
  </si>
  <si>
    <r>
      <t xml:space="preserve">(+) Cesantías e intereses de cesantías </t>
    </r>
    <r>
      <rPr>
        <b/>
        <sz val="11"/>
        <color theme="1"/>
        <rFont val="Calibri"/>
        <family val="2"/>
        <scheme val="minor"/>
      </rPr>
      <t>efectivamente pagadas o consignadas (a partir 2017)</t>
    </r>
  </si>
  <si>
    <r>
      <t xml:space="preserve">(+) Retiros de cesantías de fondos por </t>
    </r>
    <r>
      <rPr>
        <b/>
        <sz val="11"/>
        <color theme="1"/>
        <rFont val="Calibri"/>
        <family val="2"/>
        <scheme val="minor"/>
      </rPr>
      <t>aportes efectuados por empleadores (Saldos a Dic./16)</t>
    </r>
  </si>
  <si>
    <r>
      <t xml:space="preserve">(+) Retiro de aportes de Fondos de Pensiones o AFC </t>
    </r>
    <r>
      <rPr>
        <b/>
        <sz val="11"/>
        <color theme="1"/>
        <rFont val="Calibri"/>
        <family val="2"/>
        <scheme val="minor"/>
      </rPr>
      <t>que no cumplieron requisitos</t>
    </r>
  </si>
  <si>
    <r>
      <t xml:space="preserve">(-) </t>
    </r>
    <r>
      <rPr>
        <b/>
        <sz val="11"/>
        <color theme="1"/>
        <rFont val="Calibri"/>
        <family val="2"/>
        <scheme val="minor"/>
      </rPr>
      <t>INCRGO:</t>
    </r>
    <r>
      <rPr>
        <sz val="11"/>
        <color theme="1"/>
        <rFont val="Calibri"/>
        <family val="2"/>
        <scheme val="minor"/>
      </rPr>
      <t xml:space="preserve"> Cotizaciones voluntarias al </t>
    </r>
    <r>
      <rPr>
        <b/>
        <sz val="11"/>
        <color theme="1"/>
        <rFont val="Calibri"/>
        <family val="2"/>
        <scheme val="minor"/>
      </rPr>
      <t>FONDO DE PENSIONES OBLIGATORIAS (Rentas de Trabajo Art. 103 ET)</t>
    </r>
  </si>
  <si>
    <t>(=) TOTAL INGRESOS NO CONSTITUTIVOS DE RENTA NI GANANCIA OCASIONAL</t>
  </si>
  <si>
    <t>Artículo 242 Dividendos y Participaciones</t>
  </si>
  <si>
    <t>Gravable</t>
  </si>
  <si>
    <t>Salario</t>
  </si>
  <si>
    <t>Promedio</t>
  </si>
  <si>
    <t>No Gravable</t>
  </si>
  <si>
    <t>Artículo 206 Num. 4 Renta Exenta Cesantías</t>
  </si>
  <si>
    <t>Clasificación Empleado (Otros,magistrados, fiscales, jueces, rectores y profesores oficiales)</t>
  </si>
  <si>
    <t>Magistrados</t>
  </si>
  <si>
    <t>Jueces</t>
  </si>
  <si>
    <t>Fiscales</t>
  </si>
  <si>
    <t>Profesores de universidades oficiales</t>
  </si>
  <si>
    <t>Clasificacion</t>
  </si>
  <si>
    <t>Identificacion</t>
  </si>
  <si>
    <t>Rectores de universidades oficiales</t>
  </si>
  <si>
    <t>(+) Prestaciones sociales, viáticos y gastos de respresentación</t>
  </si>
  <si>
    <t>(+) Salarios</t>
  </si>
  <si>
    <t>Artículo 206 Numeral 7 Renta Exenta FP</t>
  </si>
  <si>
    <t>Oficial Fuerzas Armadas</t>
  </si>
  <si>
    <t>Sudoficial Fuerzas Armadas</t>
  </si>
  <si>
    <t>Oficial Policia Nacional</t>
  </si>
  <si>
    <t>Sudoficial Policia Nacional</t>
  </si>
  <si>
    <r>
      <t xml:space="preserve">(-) </t>
    </r>
    <r>
      <rPr>
        <b/>
        <sz val="11"/>
        <color theme="1"/>
        <rFont val="Calibri"/>
        <family val="2"/>
        <scheme val="minor"/>
      </rPr>
      <t xml:space="preserve">DEDUCCIÓN: </t>
    </r>
    <r>
      <rPr>
        <sz val="11"/>
        <color theme="1"/>
        <rFont val="Calibri"/>
        <family val="2"/>
        <scheme val="minor"/>
      </rPr>
      <t>Intereses y/o corrección monetaria de préstamos para adquisición de vivienda (</t>
    </r>
    <r>
      <rPr>
        <b/>
        <sz val="11"/>
        <color theme="1"/>
        <rFont val="Calibri"/>
        <family val="2"/>
        <scheme val="minor"/>
      </rPr>
      <t>casa de habitación</t>
    </r>
    <r>
      <rPr>
        <sz val="11"/>
        <color theme="1"/>
        <rFont val="Calibri"/>
        <family val="2"/>
        <scheme val="minor"/>
      </rPr>
      <t xml:space="preserve">) ó costo financiero en virtud de un contrato de leasing que tenga por objeto un bien inmueble destinado a vivienda </t>
    </r>
    <r>
      <rPr>
        <b/>
        <i/>
        <sz val="11"/>
        <rFont val="Calibri"/>
        <family val="2"/>
        <scheme val="minor"/>
      </rPr>
      <t>(limitado a 1,200 UVT anuales)</t>
    </r>
  </si>
  <si>
    <r>
      <rPr>
        <sz val="11"/>
        <rFont val="Calibri"/>
        <family val="2"/>
        <scheme val="minor"/>
      </rPr>
      <t xml:space="preserve">Aportes </t>
    </r>
    <r>
      <rPr>
        <b/>
        <i/>
        <sz val="11"/>
        <rFont val="Calibri"/>
        <family val="2"/>
        <scheme val="minor"/>
      </rPr>
      <t xml:space="preserve">voluntarios del partícipe independiente  </t>
    </r>
    <r>
      <rPr>
        <sz val="11"/>
        <rFont val="Calibri"/>
        <family val="2"/>
        <scheme val="minor"/>
      </rPr>
      <t>a Fondos de Pens iones de jubilación
invalidez y fondos de ces antías</t>
    </r>
  </si>
  <si>
    <r>
      <rPr>
        <b/>
        <sz val="11"/>
        <rFont val="Calibri"/>
        <family val="2"/>
        <scheme val="minor"/>
      </rPr>
      <t xml:space="preserve">(-) GASTOS: </t>
    </r>
    <r>
      <rPr>
        <sz val="11"/>
        <rFont val="Calibri"/>
        <family val="2"/>
        <scheme val="minor"/>
      </rPr>
      <t xml:space="preserve">Procedentes , debidamente soportados y con sus topes y limitaciones </t>
    </r>
    <r>
      <rPr>
        <i/>
        <sz val="11"/>
        <rFont val="Calibri"/>
        <family val="2"/>
        <scheme val="minor"/>
      </rPr>
      <t>(Ej.: Gastos de personal (Arts. 108 y 115-1 ET), honorarios, impuestos (Arts. 115 y 115-1 ET), arrendamientos (Art. 127-1 ET), seguros, gastos legales, mantenimiento, financieros, entre otros</t>
    </r>
    <r>
      <rPr>
        <sz val="11"/>
        <rFont val="Calibri"/>
        <family val="2"/>
        <scheme val="minor"/>
      </rPr>
      <t xml:space="preserve"> </t>
    </r>
  </si>
  <si>
    <t>El mismo concepto o monto no se puede imputar en más de una cédula (ET 332).</t>
  </si>
  <si>
    <t>58 E.T. No Obligados Contabilidad - Pagados Periodo  59 E.T. Obligados Contabilidad - MNTC y Excepciones  771-2 E.T. Con factura o Documento Equivalente</t>
  </si>
  <si>
    <t>104 E.T. No Obligados Contabilidad - Pagados Periodo  105 E.T. Obligados Contabilidad - MNTC y Excepciones  107 E.T. Causalidad Proporcionalidad y Necesidad        771-2 E.T. Con factura o Documento Equivalente</t>
  </si>
  <si>
    <t>118 E.T. Préstamos distintos a la casa de habitación con su limitante el Art. 118-1 E.T. Subcapitalización</t>
  </si>
  <si>
    <t>Limitación: 119 E.T.</t>
  </si>
  <si>
    <t>Intereses de Vivienda y Limitación: 119 E.T.</t>
  </si>
  <si>
    <t>El mismo concepto y monto no se puede imputar en más de una cédula (ET 332).</t>
  </si>
  <si>
    <t>338 E.T.</t>
  </si>
  <si>
    <t>126-1 y 126-4 E.T.</t>
  </si>
  <si>
    <t>55 E.T.</t>
  </si>
  <si>
    <t>56 E.T.</t>
  </si>
  <si>
    <t>38 E.T.</t>
  </si>
  <si>
    <r>
      <t xml:space="preserve">(-) </t>
    </r>
    <r>
      <rPr>
        <b/>
        <sz val="11"/>
        <rFont val="Calibri"/>
        <family val="2"/>
        <scheme val="minor"/>
      </rPr>
      <t xml:space="preserve">INCRGO: </t>
    </r>
    <r>
      <rPr>
        <sz val="11"/>
        <rFont val="Calibri"/>
        <family val="2"/>
        <scheme val="minor"/>
      </rPr>
      <t xml:space="preserve">Componente inflacionario de los rendimientos financieros </t>
    </r>
    <r>
      <rPr>
        <b/>
        <sz val="11"/>
        <rFont val="Calibri"/>
        <family val="2"/>
        <scheme val="minor"/>
      </rPr>
      <t>(Gastos por intereses aplicar componente inflacionario Art. 38 ET parágrafo 1)</t>
    </r>
  </si>
  <si>
    <t>126-1 E.T., Inc. 2</t>
  </si>
  <si>
    <t>126-4 E.T., Inc. 1</t>
  </si>
  <si>
    <t>340 E.T.</t>
  </si>
  <si>
    <t>45 E.T.</t>
  </si>
  <si>
    <t>339 E.T.</t>
  </si>
  <si>
    <t>330 E.T.</t>
  </si>
  <si>
    <t>196 E.T.</t>
  </si>
  <si>
    <t>341 E.T.</t>
  </si>
  <si>
    <t>126-1 E.T., Inc. 6</t>
  </si>
  <si>
    <t>331 E.T.</t>
  </si>
  <si>
    <t>241 E.T., Num. 2</t>
  </si>
  <si>
    <t>Leasing: DUR 1.2.1.18.50</t>
  </si>
  <si>
    <t>355 y 103 E.T.</t>
  </si>
  <si>
    <t>DUR 1.2.1.20.7 y Par. 1</t>
  </si>
  <si>
    <t>DUR 1.2.1.20.7 Par. 3</t>
  </si>
  <si>
    <t>126-1 y126-4 E.T.</t>
  </si>
  <si>
    <t>335 E.T.</t>
  </si>
  <si>
    <t>336 E.T.</t>
  </si>
  <si>
    <t>Préstamos vivienda: 119 y 387 E.T.</t>
  </si>
  <si>
    <t>115 E.T., Inc. 2</t>
  </si>
  <si>
    <t>206 E.T., Nums. 1 a 3</t>
  </si>
  <si>
    <t>206 E.T., Num. 4</t>
  </si>
  <si>
    <t>207-1 E.T.</t>
  </si>
  <si>
    <t>206 E.T., Num. 7</t>
  </si>
  <si>
    <t>206 E.T., Num. 8</t>
  </si>
  <si>
    <t>126-1 E.T. , Inc. 2</t>
  </si>
  <si>
    <t>126-4 E.T. , Inc. 1</t>
  </si>
  <si>
    <t>206 E.T., Num. 10</t>
  </si>
  <si>
    <t>337 E.T.</t>
  </si>
  <si>
    <t>206 E.T., Num. 5 y 337 E.T.</t>
  </si>
  <si>
    <t>241 E.T., Num. 1</t>
  </si>
  <si>
    <t>242 E.T.</t>
  </si>
  <si>
    <t>242 E.T. Inc.</t>
  </si>
  <si>
    <t>343 E.T., Num. 2</t>
  </si>
  <si>
    <t>49 y 342 E.T</t>
  </si>
  <si>
    <t>Tabla de Rentas Laborales  y Pensiones Inicia en:</t>
  </si>
  <si>
    <t xml:space="preserve">Table de Rentas de Capital y No Laborales Inicia en: </t>
  </si>
  <si>
    <t>Pesos</t>
  </si>
  <si>
    <t>Base Presunta</t>
  </si>
  <si>
    <t>Patrimonio Líquido mínimo a tener en cuenta</t>
  </si>
  <si>
    <t>IMPORTANCIA DE LA RENTA PRESUNTIVA</t>
  </si>
  <si>
    <r>
      <rPr>
        <b/>
        <sz val="10.5"/>
        <rFont val="Calibri"/>
        <family val="2"/>
        <scheme val="minor"/>
      </rPr>
      <t xml:space="preserve">(-) EXENTA: </t>
    </r>
    <r>
      <rPr>
        <sz val="10.5"/>
        <rFont val="Calibri"/>
        <family val="2"/>
        <scheme val="minor"/>
      </rPr>
      <t xml:space="preserve">Gastos de representación exentos de magistrados, fiscales, jueces, rectores y profesores de universidades oficiales
</t>
    </r>
    <r>
      <rPr>
        <vertAlign val="superscript"/>
        <sz val="10.5"/>
        <rFont val="Calibri"/>
        <family val="2"/>
        <scheme val="minor"/>
      </rPr>
      <t xml:space="preserve"> </t>
    </r>
    <r>
      <rPr>
        <i/>
        <sz val="10.5"/>
        <rFont val="Calibri"/>
        <family val="2"/>
        <scheme val="minor"/>
      </rPr>
      <t xml:space="preserve">( </t>
    </r>
    <r>
      <rPr>
        <b/>
        <i/>
        <sz val="10.5"/>
        <rFont val="Calibri"/>
        <family val="2"/>
        <scheme val="minor"/>
      </rPr>
      <t xml:space="preserve">Validar topes </t>
    </r>
    <r>
      <rPr>
        <i/>
        <sz val="10.5"/>
        <rFont val="Calibri"/>
        <family val="2"/>
        <scheme val="minor"/>
      </rPr>
      <t xml:space="preserve">: </t>
    </r>
    <r>
      <rPr>
        <i/>
        <sz val="10.5"/>
        <color rgb="FFFF0000"/>
        <rFont val="Calibri"/>
        <family val="2"/>
        <scheme val="minor"/>
      </rPr>
      <t>Magistrados y fiscales: 50% del salario, Jueces: 25% del salario, Rectores y
profesores de universidades oficiales: Máximo 50% del salario</t>
    </r>
    <r>
      <rPr>
        <i/>
        <sz val="10.5"/>
        <rFont val="Calibri"/>
        <family val="2"/>
        <scheme val="minor"/>
      </rPr>
      <t>)</t>
    </r>
  </si>
  <si>
    <r>
      <rPr>
        <b/>
        <sz val="10.5"/>
        <rFont val="Calibri"/>
        <family val="2"/>
        <scheme val="minor"/>
      </rPr>
      <t xml:space="preserve">(-) EXENTA: </t>
    </r>
    <r>
      <rPr>
        <sz val="10.5"/>
        <rFont val="Calibri"/>
        <family val="2"/>
        <scheme val="minor"/>
      </rPr>
      <t xml:space="preserve">El exceso del salario básico percibido por los </t>
    </r>
    <r>
      <rPr>
        <sz val="10.5"/>
        <color rgb="FFFF0000"/>
        <rFont val="Calibri"/>
        <family val="2"/>
        <scheme val="minor"/>
      </rPr>
      <t>oficiales y suboficiales de las fuerzas militares y de la Policía Nacional y de los agentes de esta última</t>
    </r>
    <r>
      <rPr>
        <sz val="10.5"/>
        <rFont val="Calibri"/>
        <family val="2"/>
        <scheme val="minor"/>
      </rPr>
      <t xml:space="preserve"> </t>
    </r>
    <r>
      <rPr>
        <b/>
        <sz val="10.5"/>
        <rFont val="Calibri"/>
        <family val="2"/>
        <scheme val="minor"/>
      </rPr>
      <t>(Indique salario Básico)</t>
    </r>
  </si>
  <si>
    <t>Agente Policia Nacional</t>
  </si>
  <si>
    <r>
      <t xml:space="preserve">(+) Dividendos y participaciones "NO Gravados" de </t>
    </r>
    <r>
      <rPr>
        <sz val="11"/>
        <color rgb="FFFF0000"/>
        <rFont val="Calibri"/>
        <family val="2"/>
        <scheme val="minor"/>
      </rPr>
      <t>periodos anteriores a 2017</t>
    </r>
  </si>
  <si>
    <r>
      <t xml:space="preserve">(+) Dividendos y participaciones </t>
    </r>
    <r>
      <rPr>
        <sz val="11"/>
        <color rgb="FFFF0000"/>
        <rFont val="Calibri"/>
        <family val="2"/>
        <scheme val="minor"/>
      </rPr>
      <t>"Gravados"</t>
    </r>
    <r>
      <rPr>
        <sz val="11"/>
        <rFont val="Calibri"/>
        <family val="2"/>
        <scheme val="minor"/>
      </rPr>
      <t xml:space="preserve"> de utilidades </t>
    </r>
    <r>
      <rPr>
        <sz val="11"/>
        <color rgb="FFFF0000"/>
        <rFont val="Calibri"/>
        <family val="2"/>
        <scheme val="minor"/>
      </rPr>
      <t>posteriores</t>
    </r>
    <r>
      <rPr>
        <sz val="11"/>
        <rFont val="Calibri"/>
        <family val="2"/>
        <scheme val="minor"/>
      </rPr>
      <t xml:space="preserve"> a 2017</t>
    </r>
  </si>
  <si>
    <r>
      <t>(+) Dividendos y participaciones "</t>
    </r>
    <r>
      <rPr>
        <sz val="11"/>
        <color rgb="FFFF0000"/>
        <rFont val="Calibri"/>
        <family val="2"/>
        <scheme val="minor"/>
      </rPr>
      <t>NO Gravados</t>
    </r>
    <r>
      <rPr>
        <sz val="11"/>
        <rFont val="Calibri"/>
        <family val="2"/>
        <scheme val="minor"/>
      </rPr>
      <t xml:space="preserve">" de utilidades </t>
    </r>
    <r>
      <rPr>
        <sz val="11"/>
        <color rgb="FFFF0000"/>
        <rFont val="Calibri"/>
        <family val="2"/>
        <scheme val="minor"/>
      </rPr>
      <t>posteriores</t>
    </r>
    <r>
      <rPr>
        <sz val="11"/>
        <rFont val="Calibri"/>
        <family val="2"/>
        <scheme val="minor"/>
      </rPr>
      <t xml:space="preserve"> a 2017</t>
    </r>
  </si>
  <si>
    <t>Muy Importante si hay baja renta o sin renta</t>
  </si>
  <si>
    <r>
      <t>COMPENSACIÓN DE PÉRDIDAS DE EJERCICIOS ANTERIORES (</t>
    </r>
    <r>
      <rPr>
        <i/>
        <sz val="11"/>
        <color rgb="FFFF0000"/>
        <rFont val="Calibri"/>
        <family val="2"/>
        <scheme val="minor"/>
      </rPr>
      <t>Únicamente a Rentas de Capital y No Laborales</t>
    </r>
    <r>
      <rPr>
        <b/>
        <sz val="11"/>
        <rFont val="Calibri"/>
        <family val="2"/>
        <scheme val="minor"/>
      </rPr>
      <t>)</t>
    </r>
  </si>
  <si>
    <t>CALCULO DE LA RENTA PRESUNTIVA</t>
  </si>
  <si>
    <t>Bienes</t>
  </si>
  <si>
    <t xml:space="preserve">   Efectivo</t>
  </si>
  <si>
    <t xml:space="preserve">   Los aportes voluntarios a fondos de pensiones</t>
  </si>
  <si>
    <t xml:space="preserve">   Cuentas por cobrar</t>
  </si>
  <si>
    <t xml:space="preserve">   Bonos obligatorios (ley 345/96, ley 487/98)</t>
  </si>
  <si>
    <r>
      <t xml:space="preserve">   Acciones en sociedades </t>
    </r>
    <r>
      <rPr>
        <b/>
        <sz val="10"/>
        <color indexed="10"/>
        <rFont val="Verdana"/>
        <family val="2"/>
      </rPr>
      <t>nacionales</t>
    </r>
  </si>
  <si>
    <r>
      <t xml:space="preserve">   Acciones en sociedades del</t>
    </r>
    <r>
      <rPr>
        <sz val="10"/>
        <color indexed="12"/>
        <rFont val="Verdana"/>
        <family val="2"/>
      </rPr>
      <t xml:space="preserve"> exterior</t>
    </r>
  </si>
  <si>
    <t xml:space="preserve">   Inventarios de Mercancías</t>
  </si>
  <si>
    <t xml:space="preserve">   Fincas, maquinarias e inventarios destinadas al sector agricola</t>
  </si>
  <si>
    <t xml:space="preserve">   Bienes raíces- casa de habitación</t>
  </si>
  <si>
    <t xml:space="preserve">   Los demás bienes raíces</t>
  </si>
  <si>
    <t xml:space="preserve">   Muebles y enseres, vehículos</t>
  </si>
  <si>
    <t xml:space="preserve">   Activos de varias clases, pero empleados para generar las rentas de que tratan los numerales 1,2,3,6 y 9  el art.207-2 (ver numeral 13 del art.191 del ET)</t>
  </si>
  <si>
    <t xml:space="preserve">  </t>
  </si>
  <si>
    <t xml:space="preserve">   Activos afectados por hechos fortuitos o causa  mayor  (y que por ende no pudieron participar en producir rentas durante el AÑO ANTERIOR)</t>
  </si>
  <si>
    <t xml:space="preserve">   Activos destinados a actividades no explotadas durante el año ANTERIOR ("empresa improductiva"; ver C.E., Sec. Cuarta, Sent. feb. 21/2005, Exp. 14110. M.P. Ligia López Díaz)</t>
  </si>
  <si>
    <t xml:space="preserve">    </t>
  </si>
  <si>
    <t>Total patrimonio bruto a dic. AÑO ANTERIOR</t>
  </si>
  <si>
    <t xml:space="preserve">   Deudas</t>
  </si>
  <si>
    <t xml:space="preserve">     De todo tipo</t>
  </si>
  <si>
    <t>Total patrimonio liquido a dic. AÑO ANTERIOR</t>
  </si>
  <si>
    <r>
      <t xml:space="preserve">El valor </t>
    </r>
    <r>
      <rPr>
        <b/>
        <sz val="10"/>
        <color indexed="10"/>
        <rFont val="Verdana"/>
        <family val="2"/>
      </rPr>
      <t>patrimonial neto</t>
    </r>
    <r>
      <rPr>
        <b/>
        <sz val="10"/>
        <rFont val="Verdana"/>
        <family val="2"/>
      </rPr>
      <t xml:space="preserve"> de los activos era:</t>
    </r>
  </si>
  <si>
    <t>CALCULO RENTA PRESUNTIVA PARA EL PRESENTE EJERCICIO</t>
  </si>
  <si>
    <t>Patrimonio Líquido a dic. 31 del PRESENTE EJERCICIO</t>
  </si>
  <si>
    <r>
      <t xml:space="preserve">Menos: Valor patrimonial </t>
    </r>
    <r>
      <rPr>
        <sz val="10"/>
        <color indexed="10"/>
        <rFont val="Verdana"/>
        <family val="2"/>
      </rPr>
      <t>neto</t>
    </r>
    <r>
      <rPr>
        <sz val="10"/>
        <rFont val="Verdana"/>
        <family val="2"/>
      </rPr>
      <t xml:space="preserve"> (o bruto) de activos que se excluyen de renta presuntiva</t>
    </r>
  </si>
  <si>
    <t>La totalidad del valor patrimonial neto de Acciones y aportes en sociedades nacionales</t>
  </si>
  <si>
    <t xml:space="preserve">   La totalidad del valor patrimonial neto de activos destinados a actividades no explotadas durante el año ANTERIOR ("empresa improductiva")</t>
  </si>
  <si>
    <t xml:space="preserve">   El valor patrimonial neto de los activos afectados por hechos fortuitos o causa mayor</t>
  </si>
  <si>
    <t>Menos:</t>
  </si>
  <si>
    <r>
      <t>La totalidad del valor patrimonial</t>
    </r>
    <r>
      <rPr>
        <sz val="10"/>
        <color indexed="10"/>
        <rFont val="Verdana"/>
        <family val="2"/>
      </rPr>
      <t xml:space="preserve"> bruto</t>
    </r>
    <r>
      <rPr>
        <sz val="10"/>
        <rFont val="Verdana"/>
        <family val="2"/>
      </rPr>
      <t xml:space="preserve"> de:</t>
    </r>
  </si>
  <si>
    <t xml:space="preserve">   La totalidad del valor patrimonial bruto de los activos empleados para  generar las rentas de que trata los numerales 1,2,3,6 y 9 del art.207-2 (ver numeral 13 del    art.191 del ET)</t>
  </si>
  <si>
    <r>
      <t>Hasta los primeros 8.000 UVT (Valor patrimonial bruto de la casa de habitación (</t>
    </r>
    <r>
      <rPr>
        <sz val="10"/>
        <color indexed="10"/>
        <rFont val="Verdana"/>
        <family val="2"/>
      </rPr>
      <t>Nota: Según el concepto DIAN 080289 de Octubre 1 de 2009, a pesar de que se parte del patrimonio líquido, estos activos se restan por su valor bruto-sin exceder el limite antes indicado- y sin importar que con eso la base final de la Renta presuntiva se pueda volver negativa)</t>
    </r>
  </si>
  <si>
    <r>
      <t>Hasta los primeros 19.000 UVT del valor patrimonial bruto de los activos destinados al sector agropecuario</t>
    </r>
    <r>
      <rPr>
        <sz val="10"/>
        <color indexed="10"/>
        <rFont val="Verdana"/>
        <family val="2"/>
      </rPr>
      <t xml:space="preserve"> (Nota: Según el concepto DIAN 080289 de Octubre 1 de 2009, a pesar de que se parte del patrimonio líquido, estos activos se restan por su valor bruto-sin exceder el limite antes indicado- y sin importar que con eso la base final de la Renta presuntiva se pueda volver negativa)</t>
    </r>
  </si>
  <si>
    <t xml:space="preserve">  La totalidad del valor patrimonial bruto de los aportes voluntarios en fondos de pensiones (ver sentencia Consejo de Estado junio de 2011 expediente 18024 donde interpretó el art. 135 de la ley 100 de 1993 y declaró nulos varios apartes de los conceptos DIAN  008755 de Febrero 17 de 2005 y 017628 de Febrero 28 de 2006)</t>
  </si>
  <si>
    <t>La totalidad del valor patrimonial bruto de Bonos obligatorios (ley 345/96, ley 487/98)</t>
  </si>
  <si>
    <t>Base</t>
  </si>
  <si>
    <t>Tarifa</t>
  </si>
  <si>
    <t>Subtotal</t>
  </si>
  <si>
    <t>Más : Rentas netas gravables que durante el AÑO ANTERIOR hayan producido los activos excluidos del cálculo</t>
  </si>
  <si>
    <t xml:space="preserve">   Ej.: Los dividendos gravables recibidos durante el AÑO ANTERIOR de parte de las sociedades nacionales donde se poseían las acciones</t>
  </si>
  <si>
    <t xml:space="preserve">        </t>
  </si>
  <si>
    <t>Renta presuntiva definitiva PRESENTE EJERCICIO</t>
  </si>
  <si>
    <r>
      <t>Renta Total (</t>
    </r>
    <r>
      <rPr>
        <i/>
        <sz val="11"/>
        <color rgb="FFFF0000"/>
        <rFont val="Calibri"/>
        <family val="2"/>
        <scheme val="minor"/>
      </rPr>
      <t>Sumatoria de todas las Cédulas</t>
    </r>
    <r>
      <rPr>
        <sz val="11"/>
        <color theme="1"/>
        <rFont val="Calibri"/>
        <family val="2"/>
        <scheme val="minor"/>
      </rPr>
      <t>)</t>
    </r>
  </si>
  <si>
    <t>(+) Reintegro del Capital Aportado (Incluyendo el exceso)</t>
  </si>
  <si>
    <t>(-) Costo Fiscal del Activo Poseido por 2 años o más</t>
  </si>
  <si>
    <t>(-) Costo Fiscal de la Inversión en Sociedades</t>
  </si>
  <si>
    <t>300 E.T.</t>
  </si>
  <si>
    <t>301 E.T</t>
  </si>
  <si>
    <t>302 y 303 E.T.</t>
  </si>
  <si>
    <t>304, 305, 306, 306-1 E.T</t>
  </si>
  <si>
    <t>(+) Loterías, Premios, Rifas , Apuestas y Similares</t>
  </si>
  <si>
    <t>(=) GANANCIAS OCASIONALES NACIONALES Y DEL EXTERIOR</t>
  </si>
  <si>
    <t>(=) COSTOS POR GANANCIAS OCASIONALES</t>
  </si>
  <si>
    <t>(=) GANANCIAS OCASIONALES EXENTAS</t>
  </si>
  <si>
    <t>272 y 301 E.T.</t>
  </si>
  <si>
    <t>(+) Venta de Vivienda de Habitación</t>
  </si>
  <si>
    <t>311-1 E.T</t>
  </si>
  <si>
    <t>(=) Ganancia Ocasional Gravable</t>
  </si>
  <si>
    <t>Total Ganancia Ocasional Gravable</t>
  </si>
  <si>
    <t>Ganancia Ocasional Diferente de Loterias, Premios, Rifas, Apuestas, etc</t>
  </si>
  <si>
    <t>IMPUESTO DE GANANCIA OCASIONAL (20%)</t>
  </si>
  <si>
    <t>387 E.T. Literales a y b</t>
  </si>
  <si>
    <t>387 E.T. Inciso 2 y Oficio
19453/2017</t>
  </si>
  <si>
    <t>55 E.T. y Ley 100/93 Art. 135 E.T., Par. 1.</t>
  </si>
  <si>
    <r>
      <t xml:space="preserve">(-) </t>
    </r>
    <r>
      <rPr>
        <b/>
        <sz val="11"/>
        <rFont val="Calibri"/>
        <family val="2"/>
        <scheme val="minor"/>
      </rPr>
      <t xml:space="preserve">INCRGO: </t>
    </r>
    <r>
      <rPr>
        <sz val="11"/>
        <rFont val="Calibri"/>
        <family val="2"/>
        <scheme val="minor"/>
      </rPr>
      <t xml:space="preserve">Aportes obligatorios a salud  </t>
    </r>
    <r>
      <rPr>
        <b/>
        <i/>
        <sz val="11"/>
        <rFont val="Calibri"/>
        <family val="2"/>
        <scheme val="minor"/>
      </rPr>
      <t>(limitado al 12% del exceso de 12.000 UVT)</t>
    </r>
  </si>
  <si>
    <r>
      <t xml:space="preserve">(-)  </t>
    </r>
    <r>
      <rPr>
        <b/>
        <sz val="11"/>
        <rFont val="Calibri"/>
        <family val="2"/>
        <scheme val="minor"/>
      </rPr>
      <t xml:space="preserve">EXENTA: </t>
    </r>
    <r>
      <rPr>
        <sz val="11"/>
        <rFont val="Calibri"/>
        <family val="2"/>
        <scheme val="minor"/>
      </rPr>
      <t xml:space="preserve">Pensión de jubilación exenta </t>
    </r>
    <r>
      <rPr>
        <b/>
        <sz val="11"/>
        <rFont val="Calibri"/>
        <family val="2"/>
        <scheme val="minor"/>
      </rPr>
      <t xml:space="preserve"> (</t>
    </r>
    <r>
      <rPr>
        <b/>
        <i/>
        <sz val="11"/>
        <rFont val="Calibri"/>
        <family val="2"/>
        <scheme val="minor"/>
      </rPr>
      <t>limitado a 12,000 UVT anuales)</t>
    </r>
  </si>
  <si>
    <r>
      <rPr>
        <b/>
        <sz val="11"/>
        <rFont val="Calibri"/>
        <family val="2"/>
        <scheme val="minor"/>
      </rPr>
      <t xml:space="preserve">TOTAL RENTA LÍQUIDA CÉDULAS 1 y 2
</t>
    </r>
    <r>
      <rPr>
        <i/>
        <sz val="11"/>
        <rFont val="Calibri"/>
        <family val="2"/>
        <scheme val="minor"/>
      </rPr>
      <t>(Las pérdidas de las rentas líquidas cedulares no se suman para efectos de determinar la renta líquida gravable)</t>
    </r>
  </si>
  <si>
    <r>
      <rPr>
        <b/>
        <sz val="10.5"/>
        <rFont val="Calibri"/>
        <family val="2"/>
        <scheme val="minor"/>
      </rPr>
      <t xml:space="preserve">(-) EXENTA: APORTES A FONDOS DE PENSIONES y/o CUENTAS AFC
</t>
    </r>
    <r>
      <rPr>
        <b/>
        <i/>
        <sz val="10.5"/>
        <rFont val="Calibri"/>
        <family val="2"/>
        <scheme val="minor"/>
      </rPr>
      <t>(limitado a un 30% de los ingresos tributarios y hasta 3,800 UVT anuales)</t>
    </r>
  </si>
  <si>
    <r>
      <t>(-) DEDUCCIÓN: Intereses y/o corrección monetaria de préstamos para adquisición de vivienda  ó   Costo financiero en virtud de un contrato de leasing que tenga por objeto un bien inmueble destinado a vivienda (</t>
    </r>
    <r>
      <rPr>
        <i/>
        <sz val="11"/>
        <color rgb="FFFF0000"/>
        <rFont val="Calibri"/>
        <family val="2"/>
        <scheme val="minor"/>
      </rPr>
      <t>limitado a 1,200 UVT anuales</t>
    </r>
    <r>
      <rPr>
        <sz val="11"/>
        <color theme="1"/>
        <rFont val="Calibri"/>
        <family val="2"/>
        <scheme val="minor"/>
      </rPr>
      <t>)</t>
    </r>
  </si>
  <si>
    <r>
      <t xml:space="preserve">(+) Retiros de cesantías de fondo a título de </t>
    </r>
    <r>
      <rPr>
        <b/>
        <sz val="11"/>
        <color rgb="FFFF0000"/>
        <rFont val="Calibri"/>
        <family val="2"/>
        <scheme val="minor"/>
      </rPr>
      <t>reembolso de capital de aportes efectuados por partícipes independientes</t>
    </r>
  </si>
  <si>
    <t>(+) Arrendamientos</t>
  </si>
  <si>
    <r>
      <t>Renta Exenta por Derechos de Autor (</t>
    </r>
    <r>
      <rPr>
        <i/>
        <sz val="11"/>
        <color rgb="FFFF0000"/>
        <rFont val="Calibri"/>
        <family val="2"/>
        <scheme val="minor"/>
      </rPr>
      <t>limitada hasta 1.200 UVT</t>
    </r>
    <r>
      <rPr>
        <sz val="11"/>
        <color theme="1"/>
        <rFont val="Calibri"/>
        <family val="2"/>
        <scheme val="minor"/>
      </rPr>
      <t>)</t>
    </r>
  </si>
  <si>
    <t>208 E.T.</t>
  </si>
  <si>
    <r>
      <t xml:space="preserve">(+) Honorarios y Servicios </t>
    </r>
    <r>
      <rPr>
        <b/>
        <sz val="11"/>
        <color rgb="FFFF0000"/>
        <rFont val="Calibri"/>
        <family val="2"/>
        <scheme val="minor"/>
      </rPr>
      <t>(Con menos de 2 trabajadores o contratistas, menos de 90 días)</t>
    </r>
  </si>
  <si>
    <r>
      <t>(+) Honorarios y Servicios  (</t>
    </r>
    <r>
      <rPr>
        <i/>
        <sz val="11"/>
        <color rgb="FFFF0000"/>
        <rFont val="Calibri"/>
        <family val="2"/>
        <scheme val="minor"/>
      </rPr>
      <t>Con 2 o más trabajadores o contratistas, durante 90 días o más consecutivos o no</t>
    </r>
    <r>
      <rPr>
        <sz val="11"/>
        <rFont val="Calibri"/>
        <family val="2"/>
        <scheme val="minor"/>
      </rPr>
      <t>)</t>
    </r>
  </si>
  <si>
    <r>
      <t xml:space="preserve">(-) </t>
    </r>
    <r>
      <rPr>
        <b/>
        <sz val="11"/>
        <color theme="1"/>
        <rFont val="Calibri"/>
        <family val="2"/>
        <scheme val="minor"/>
      </rPr>
      <t xml:space="preserve">INCRGO: </t>
    </r>
    <r>
      <rPr>
        <sz val="11"/>
        <color theme="1"/>
        <rFont val="Calibri"/>
        <family val="2"/>
        <scheme val="minor"/>
      </rPr>
      <t xml:space="preserve">Aportes obligatorios a salud </t>
    </r>
    <r>
      <rPr>
        <b/>
        <sz val="11"/>
        <color theme="1"/>
        <rFont val="Calibri"/>
        <family val="2"/>
        <scheme val="minor"/>
      </rPr>
      <t>(Laboral)</t>
    </r>
  </si>
  <si>
    <t>Base para determinar renta exenta: Ingresos (Filas 06 a la 10) - INCRNGO (Filas 16 a 18) - Deducciones (Fila 21 a 28)  - Exentas (Filas 29,30,34,35,36)</t>
  </si>
  <si>
    <r>
      <t xml:space="preserve">(-) </t>
    </r>
    <r>
      <rPr>
        <b/>
        <sz val="11"/>
        <color theme="1"/>
        <rFont val="Calibri"/>
        <family val="2"/>
        <scheme val="minor"/>
      </rPr>
      <t>DEDUCCIÓN:</t>
    </r>
    <r>
      <rPr>
        <sz val="11"/>
        <color theme="1"/>
        <rFont val="Calibri"/>
        <family val="2"/>
        <scheme val="minor"/>
      </rPr>
      <t xml:space="preserve"> Dependientes                                                          </t>
    </r>
    <r>
      <rPr>
        <sz val="11"/>
        <color rgb="FFFF0000"/>
        <rFont val="Calibri"/>
        <family val="2"/>
        <scheme val="minor"/>
      </rPr>
      <t xml:space="preserve">   </t>
    </r>
    <r>
      <rPr>
        <b/>
        <i/>
        <sz val="11"/>
        <color rgb="FFFF0000"/>
        <rFont val="Calibri"/>
        <family val="2"/>
        <scheme val="minor"/>
      </rPr>
      <t>(Seleccione "Si o "No")</t>
    </r>
    <r>
      <rPr>
        <b/>
        <i/>
        <sz val="11"/>
        <color rgb="FFFF0000"/>
        <rFont val="Calibri"/>
        <family val="2"/>
      </rPr>
      <t>→</t>
    </r>
    <r>
      <rPr>
        <sz val="11"/>
        <color theme="1"/>
        <rFont val="Calibri"/>
        <family val="2"/>
        <scheme val="minor"/>
      </rPr>
      <t xml:space="preserve">
</t>
    </r>
    <r>
      <rPr>
        <b/>
        <i/>
        <sz val="11"/>
        <color theme="1"/>
        <rFont val="Calibri"/>
        <family val="2"/>
        <scheme val="minor"/>
      </rPr>
      <t>(limitado al 10% del ingreso laboral. Tope de 384 UVT anuales)</t>
    </r>
  </si>
  <si>
    <t>(=) TOTAL DIVIDENDOS Y PARTICIPACIONES ANTERIORES AL 2016</t>
  </si>
  <si>
    <r>
      <t xml:space="preserve">(+) Dividendos y participaciones "Gravados" de </t>
    </r>
    <r>
      <rPr>
        <sz val="11"/>
        <color rgb="FFFF0000"/>
        <rFont val="Calibri"/>
        <family val="2"/>
        <scheme val="minor"/>
      </rPr>
      <t>periodos anteriores a 2017</t>
    </r>
  </si>
  <si>
    <t>Renta líquida Dividendos y Participaciones Anteriores al 2017 (33%)</t>
  </si>
  <si>
    <t>(IV) Impuesto de renta ordinario (33%)</t>
  </si>
  <si>
    <t>DUR 1.2.1.10.3</t>
  </si>
  <si>
    <t>DUR 1.2.1.10.3 parágrafo 1 numeral 2</t>
  </si>
  <si>
    <t>TOTAL IMPUESTO DE RENTA CÉDULA 5 (I + II + lll + IV)</t>
  </si>
  <si>
    <r>
      <t>Renta liquida</t>
    </r>
    <r>
      <rPr>
        <sz val="11"/>
        <color rgb="FF000000"/>
        <rFont val="Arial"/>
        <family val="2"/>
      </rPr>
      <t xml:space="preserve"> (32-33)</t>
    </r>
  </si>
  <si>
    <r>
      <t>Rentas exentas de trabajo y deducciones imputables</t>
    </r>
    <r>
      <rPr>
        <sz val="11"/>
        <color rgb="FF000000"/>
        <rFont val="Arial"/>
        <family val="2"/>
      </rPr>
      <t xml:space="preserve"> (limitadas)</t>
    </r>
  </si>
  <si>
    <r>
      <t xml:space="preserve">Renta Líquida </t>
    </r>
    <r>
      <rPr>
        <sz val="11"/>
        <color rgb="FF000000"/>
        <rFont val="Arial"/>
        <family val="2"/>
      </rPr>
      <t xml:space="preserve">(43-44-45) </t>
    </r>
  </si>
  <si>
    <r>
      <t xml:space="preserve">Rentas exentas de capital y deducciones imputables </t>
    </r>
    <r>
      <rPr>
        <sz val="11"/>
        <color rgb="FF000000"/>
        <rFont val="Arial"/>
        <family val="2"/>
      </rPr>
      <t>(limitadas)</t>
    </r>
  </si>
  <si>
    <r>
      <t>Renta líquida cedular de capital</t>
    </r>
    <r>
      <rPr>
        <sz val="11"/>
        <color rgb="FF000000"/>
        <rFont val="Arial"/>
        <family val="2"/>
      </rPr>
      <t xml:space="preserve"> (50-52); si 50 es igual a cero (0), 53 es igual a cero (0)</t>
    </r>
  </si>
  <si>
    <r>
      <t>Renta Líquida</t>
    </r>
    <r>
      <rPr>
        <sz val="11"/>
        <color rgb="FF000000"/>
        <rFont val="Arial"/>
        <family val="2"/>
      </rPr>
      <t xml:space="preserve"> (54 -55 -56 -57)</t>
    </r>
  </si>
  <si>
    <r>
      <t xml:space="preserve">Renta líquida cedular no laboral: </t>
    </r>
    <r>
      <rPr>
        <sz val="11"/>
        <color rgb="FF000000"/>
        <rFont val="Arial"/>
        <family val="2"/>
      </rPr>
      <t>(62 - 64 + 65); si 62 es igual a cero (0), 66 igual 65</t>
    </r>
  </si>
  <si>
    <r>
      <t xml:space="preserve">Renta líquida ordinaria año 2016 y anteriores </t>
    </r>
    <r>
      <rPr>
        <sz val="11"/>
        <color rgb="FF000000"/>
        <rFont val="Arial"/>
        <family val="2"/>
      </rPr>
      <t>(67- 68)</t>
    </r>
  </si>
  <si>
    <r>
      <t xml:space="preserve">Total Impuesto sobre las rentas líquidas cedulares </t>
    </r>
    <r>
      <rPr>
        <sz val="11"/>
        <color rgb="FF000000"/>
        <rFont val="Arial"/>
        <family val="2"/>
      </rPr>
      <t>(Sume 81 a 85)</t>
    </r>
  </si>
  <si>
    <r>
      <t xml:space="preserve">Total saldo a favor </t>
    </r>
    <r>
      <rPr>
        <sz val="11"/>
        <color rgb="FF000000"/>
        <rFont val="Arial"/>
        <family val="2"/>
      </rPr>
      <t>(97+98+99-96-100-102)</t>
    </r>
  </si>
  <si>
    <t>Rentas exentas dividendos recibidos de ECE y/o recibidos del exterior, casilla 72</t>
  </si>
  <si>
    <t>|</t>
  </si>
  <si>
    <t>(=) SUBTOTAL DEDUCCIONES</t>
  </si>
  <si>
    <t>(=) SUBTOTAL RENTAS EXENTAS</t>
  </si>
  <si>
    <r>
      <t>Gravamen a los Movimientos Financieros- GMF  (</t>
    </r>
    <r>
      <rPr>
        <b/>
        <i/>
        <sz val="11"/>
        <color rgb="FFFF0000"/>
        <rFont val="Calibri"/>
        <family val="2"/>
        <scheme val="minor"/>
      </rPr>
      <t>No necesita relación de causalidad</t>
    </r>
    <r>
      <rPr>
        <b/>
        <i/>
        <sz val="11"/>
        <rFont val="Calibri"/>
        <family val="2"/>
        <scheme val="minor"/>
      </rPr>
      <t>)</t>
    </r>
  </si>
  <si>
    <r>
      <t xml:space="preserve">115 ET limitado al 50% -&gt; </t>
    </r>
    <r>
      <rPr>
        <sz val="11"/>
        <color rgb="FFFF0000"/>
        <rFont val="Calibri"/>
        <family val="2"/>
        <scheme val="minor"/>
      </rPr>
      <t>Indique el total</t>
    </r>
  </si>
  <si>
    <r>
      <t>Los Intereses para adquirir Bienes que Generan Rentas de Capital y por Prestamos en las Actividades de Capital (</t>
    </r>
    <r>
      <rPr>
        <b/>
        <i/>
        <sz val="11"/>
        <color rgb="FFFF0000"/>
        <rFont val="Calibri"/>
        <family val="2"/>
        <scheme val="minor"/>
      </rPr>
      <t>Tener en cuenta el componente Inflacionario si lo aplicó a los ingresos por intereses</t>
    </r>
    <r>
      <rPr>
        <b/>
        <i/>
        <sz val="11"/>
        <rFont val="Calibri"/>
        <family val="2"/>
        <scheme val="minor"/>
      </rPr>
      <t>)</t>
    </r>
  </si>
  <si>
    <r>
      <t>(-) DEDUCCIÓN: Intereses y/o corrección monetaria de préstamos para adquisición de vivienda  ó   Costo financiero en virtud de un contrato de leasing que tenga por objeto un bien inmueble destinado a vivienda (</t>
    </r>
    <r>
      <rPr>
        <sz val="11"/>
        <color rgb="FFFF0000"/>
        <rFont val="Calibri"/>
        <family val="2"/>
        <scheme val="minor"/>
      </rPr>
      <t>limitado a 1,200 UVT anuales</t>
    </r>
    <r>
      <rPr>
        <sz val="11"/>
        <rFont val="Calibri"/>
        <family val="2"/>
        <scheme val="minor"/>
      </rPr>
      <t>)</t>
    </r>
  </si>
  <si>
    <t>Proporcionalidad de las Rentas Exentas sobre el total de Rentas Exentas y Deducciones</t>
  </si>
  <si>
    <t>Total Renta Exenta</t>
  </si>
  <si>
    <t>Total Deducciones y Rentas Exentas</t>
  </si>
  <si>
    <t>Proporcionalidad de las Rentas Exentas</t>
  </si>
  <si>
    <t>Rentas Exentas y Deducciones limitadas</t>
  </si>
  <si>
    <t>Rentas Exentas Aceptadas</t>
  </si>
  <si>
    <t>(=) TOTAL DE RENTAS Y DEDUCCIONES</t>
  </si>
  <si>
    <t>Renta Presuntiva Neta</t>
  </si>
  <si>
    <t>IMPUESTO DE RENTA PRESUNTIVA</t>
  </si>
  <si>
    <t>Renta LÍQUIDA por efectos de la Renta Presuntiva</t>
  </si>
  <si>
    <r>
      <t>(-) I</t>
    </r>
    <r>
      <rPr>
        <b/>
        <sz val="11"/>
        <rFont val="Calibri"/>
        <family val="2"/>
        <scheme val="minor"/>
      </rPr>
      <t xml:space="preserve">NCRGO: </t>
    </r>
    <r>
      <rPr>
        <sz val="11"/>
        <rFont val="Calibri"/>
        <family val="2"/>
        <scheme val="minor"/>
      </rPr>
      <t xml:space="preserve">Aportes obligatorios a salud del </t>
    </r>
    <r>
      <rPr>
        <b/>
        <sz val="11"/>
        <rFont val="Calibri"/>
        <family val="2"/>
        <scheme val="minor"/>
      </rPr>
      <t>contribuyente</t>
    </r>
  </si>
  <si>
    <r>
      <t xml:space="preserve">(-) </t>
    </r>
    <r>
      <rPr>
        <b/>
        <sz val="11"/>
        <rFont val="Calibri"/>
        <family val="2"/>
        <scheme val="minor"/>
      </rPr>
      <t xml:space="preserve">INCRGO: </t>
    </r>
    <r>
      <rPr>
        <sz val="11"/>
        <rFont val="Calibri"/>
        <family val="2"/>
        <scheme val="minor"/>
      </rPr>
      <t xml:space="preserve">Aportes obligatorios a pensiones del </t>
    </r>
    <r>
      <rPr>
        <b/>
        <sz val="11"/>
        <rFont val="Calibri"/>
        <family val="2"/>
        <scheme val="minor"/>
      </rPr>
      <t>contribuyente</t>
    </r>
  </si>
  <si>
    <r>
      <t>(+) Otros ingresos (</t>
    </r>
    <r>
      <rPr>
        <i/>
        <sz val="11"/>
        <color rgb="FFFF0000"/>
        <rFont val="Calibri"/>
        <family val="2"/>
        <scheme val="minor"/>
      </rPr>
      <t>Cualquier ingreso diferente al de las otras cédulas</t>
    </r>
    <r>
      <rPr>
        <sz val="11"/>
        <rFont val="Calibri"/>
        <family val="2"/>
        <scheme val="minor"/>
      </rPr>
      <t>)</t>
    </r>
  </si>
  <si>
    <t>Total Impuesto de renta ordinario subcédula 2</t>
  </si>
  <si>
    <t>Salario Mínimo</t>
  </si>
  <si>
    <r>
      <t xml:space="preserve">(-) </t>
    </r>
    <r>
      <rPr>
        <b/>
        <sz val="11"/>
        <color theme="1"/>
        <rFont val="Calibri"/>
        <family val="2"/>
        <scheme val="minor"/>
      </rPr>
      <t xml:space="preserve">INCRGO: </t>
    </r>
    <r>
      <rPr>
        <sz val="11"/>
        <color theme="1"/>
        <rFont val="Calibri"/>
        <family val="2"/>
        <scheme val="minor"/>
      </rPr>
      <t xml:space="preserve">Aportes obligatorios a salud y Pension </t>
    </r>
    <r>
      <rPr>
        <b/>
        <sz val="11"/>
        <color theme="1"/>
        <rFont val="Calibri"/>
        <family val="2"/>
        <scheme val="minor"/>
      </rPr>
      <t>(Servicios + Honorarios)</t>
    </r>
  </si>
  <si>
    <t>(+) Otras Ganancias Ocasionales</t>
  </si>
  <si>
    <t>RETENCIONES EN LA FUENTE</t>
  </si>
  <si>
    <t>RETENCIONES EN LA FUENTE EFECTUADA POR RENTAS DE TRABAJO</t>
  </si>
  <si>
    <t>RETENCIONES EN LA FUENTE EFECTUADA POR RENTAS NO LABORALES</t>
  </si>
  <si>
    <t>RETENCIONES EN LA FUENTE EFECTUADA POR RENTAS DE CAPITAL</t>
  </si>
  <si>
    <t>RETENCIONES EN LA FUENTE EFECTUADAS POR DIVIDENDOS Y PARTICIPACIONES</t>
  </si>
  <si>
    <t>TOTAL IMPUESTO DE GANANCIA OCASIONAL</t>
  </si>
  <si>
    <t>RETENCION EN LA FUENTE EFECUTADA POR GANANCIAS OCASIONALES</t>
  </si>
  <si>
    <t>Opción 1</t>
  </si>
  <si>
    <t>Total Anticipo con la opción 1</t>
  </si>
  <si>
    <t>Opción 2</t>
  </si>
  <si>
    <t>Total Anticipo con la opción 2</t>
  </si>
  <si>
    <t>ANTICIPO VOLUNTARIO</t>
  </si>
  <si>
    <t>Primer Año</t>
  </si>
  <si>
    <t>Segundo Año</t>
  </si>
  <si>
    <t>Selección</t>
  </si>
  <si>
    <t>Según la TABLA, Selecciones el año al que corresponde:</t>
  </si>
  <si>
    <t>Menos: Retenciones en la fuente</t>
  </si>
  <si>
    <t>Total Anticipo para el ACTUAL Año Gravable</t>
  </si>
  <si>
    <t>Tercer Año y Posterior</t>
  </si>
  <si>
    <t>Anticipo del Año Gravable ANTERIOR</t>
  </si>
  <si>
    <t>Saldo a Favor del Año ANTERIOR</t>
  </si>
  <si>
    <t>Sanción a Pagar (Liquidación según caso)</t>
  </si>
  <si>
    <t>LIQUIDACIÓN DE ANTICIPO E INFORMACIÓN ADICIONAL</t>
  </si>
  <si>
    <t>En Liquidación</t>
  </si>
  <si>
    <r>
      <t xml:space="preserve">1) La PRESENTE declaración es la </t>
    </r>
    <r>
      <rPr>
        <b/>
        <sz val="10"/>
        <rFont val="Verdana"/>
        <family val="2"/>
      </rPr>
      <t>PRIMERA</t>
    </r>
    <r>
      <rPr>
        <sz val="10"/>
        <rFont val="Verdana"/>
        <family val="2"/>
      </rPr>
      <t xml:space="preserve"> declaración de renta que presenta en toda su historia tributaria?</t>
    </r>
  </si>
  <si>
    <r>
      <t xml:space="preserve">2) La PRESENTE declaración corresponde al </t>
    </r>
    <r>
      <rPr>
        <b/>
        <sz val="10"/>
        <rFont val="Verdana"/>
        <family val="2"/>
      </rPr>
      <t>SEGUNDO</t>
    </r>
    <r>
      <rPr>
        <sz val="10"/>
        <rFont val="Verdana"/>
        <family val="2"/>
      </rPr>
      <t xml:space="preserve"> Año que declara en toda su historia tributaria? </t>
    </r>
  </si>
  <si>
    <r>
      <t xml:space="preserve">3)  La PRESENTE declaración es el </t>
    </r>
    <r>
      <rPr>
        <b/>
        <sz val="10"/>
        <rFont val="Verdana"/>
        <family val="2"/>
      </rPr>
      <t>TERCER</t>
    </r>
    <r>
      <rPr>
        <sz val="10"/>
        <rFont val="Verdana"/>
        <family val="2"/>
      </rPr>
      <t xml:space="preserve"> o </t>
    </r>
    <r>
      <rPr>
        <b/>
        <sz val="10"/>
        <rFont val="Verdana"/>
        <family val="2"/>
      </rPr>
      <t>POSTERIOR</t>
    </r>
    <r>
      <rPr>
        <sz val="10"/>
        <rFont val="Verdana"/>
        <family val="2"/>
      </rPr>
      <t xml:space="preserve"> Año Gravable que le corresponde declarar?</t>
    </r>
  </si>
  <si>
    <r>
      <t xml:space="preserve">Impuesto Neto de Renta del año </t>
    </r>
    <r>
      <rPr>
        <b/>
        <sz val="10"/>
        <rFont val="Verdana"/>
        <family val="2"/>
      </rPr>
      <t>ANTERIOR</t>
    </r>
  </si>
  <si>
    <r>
      <t xml:space="preserve">Impuesto Neto de Renta del </t>
    </r>
    <r>
      <rPr>
        <b/>
        <sz val="10"/>
        <rFont val="Verdana"/>
        <family val="2"/>
      </rPr>
      <t>PRESENTE</t>
    </r>
    <r>
      <rPr>
        <sz val="10"/>
        <rFont val="Verdana"/>
        <family val="2"/>
      </rPr>
      <t xml:space="preserve"> año</t>
    </r>
  </si>
  <si>
    <t>307 ET Num. 1</t>
  </si>
  <si>
    <t>307 ET Num. 2</t>
  </si>
  <si>
    <t>307 o 311-1 E.T.</t>
  </si>
  <si>
    <t>300 y 307 E.T.</t>
  </si>
  <si>
    <t>307 ET Num. 3</t>
  </si>
  <si>
    <t>307 ET Num. 4</t>
  </si>
  <si>
    <r>
      <t>(-) Por Venta Vivienda de Habitación (</t>
    </r>
    <r>
      <rPr>
        <i/>
        <sz val="11"/>
        <color rgb="FFFF0000"/>
        <rFont val="Calibri"/>
        <family val="2"/>
        <scheme val="minor"/>
      </rPr>
      <t>Hasta 7.700 UVT</t>
    </r>
    <r>
      <rPr>
        <sz val="11"/>
        <rFont val="Calibri"/>
        <family val="2"/>
        <scheme val="minor"/>
      </rPr>
      <t>)</t>
    </r>
  </si>
  <si>
    <r>
      <t>(+) Venta de Vivienda DIFERENTE a la de Habitación (</t>
    </r>
    <r>
      <rPr>
        <i/>
        <sz val="11"/>
        <color rgb="FFFF0000"/>
        <rFont val="Calibri"/>
        <family val="2"/>
        <scheme val="minor"/>
      </rPr>
      <t>Inmueble Rural</t>
    </r>
    <r>
      <rPr>
        <sz val="11"/>
        <rFont val="Calibri"/>
        <family val="2"/>
        <scheme val="minor"/>
      </rPr>
      <t>)</t>
    </r>
  </si>
  <si>
    <t>(+) Porción Conyugal</t>
  </si>
  <si>
    <r>
      <t>(-) Por la Ganancia en Venta de Vivienda para Adquirir Otra de Habitación (</t>
    </r>
    <r>
      <rPr>
        <i/>
        <sz val="11"/>
        <color rgb="FFFF0000"/>
        <rFont val="Calibri"/>
        <family val="2"/>
        <scheme val="minor"/>
      </rPr>
      <t>Hasta 7.200 UVT</t>
    </r>
    <r>
      <rPr>
        <sz val="11"/>
        <rFont val="Calibri"/>
        <family val="2"/>
        <scheme val="minor"/>
      </rPr>
      <t>)</t>
    </r>
  </si>
  <si>
    <t>Descuentos Tributarios</t>
  </si>
  <si>
    <r>
      <t>(-) Por Inmueble Rural NO Casa Quinta o Finca Recreo (</t>
    </r>
    <r>
      <rPr>
        <i/>
        <sz val="11"/>
        <color rgb="FFFF0000"/>
        <rFont val="Calibri"/>
        <family val="2"/>
        <scheme val="minor"/>
      </rPr>
      <t>Hasta 7.700 UVT</t>
    </r>
    <r>
      <rPr>
        <sz val="11"/>
        <rFont val="Calibri"/>
        <family val="2"/>
        <scheme val="minor"/>
      </rPr>
      <t>)</t>
    </r>
  </si>
  <si>
    <t>NIT</t>
  </si>
  <si>
    <t>Primer Apellido</t>
  </si>
  <si>
    <t>Segundo Apellido</t>
  </si>
  <si>
    <t>Primer Nombre</t>
  </si>
  <si>
    <t>Otros Nombres</t>
  </si>
  <si>
    <t>DATOS DEL CONTRIBUYENTE</t>
  </si>
  <si>
    <t>DATOS DEPENDIENTE</t>
  </si>
  <si>
    <t>Parentesco</t>
  </si>
  <si>
    <t>Entidades Controladas del Exterior</t>
  </si>
  <si>
    <t>Rentas líquidas pasivas de capital</t>
  </si>
  <si>
    <t>Rentas líquidas pasivas no laborales</t>
  </si>
  <si>
    <t>OTROS CONCEPTOS (Descuentos, Devoluciones, Rebajas, Otros)</t>
  </si>
  <si>
    <t>Rentas No Laborales</t>
  </si>
  <si>
    <t>Rentas exentas dividendos recibidos de ECE y/o recibidos del exterior</t>
  </si>
  <si>
    <t>SI</t>
  </si>
  <si>
    <t>podría convertir la cifra que allí se forme en una Renta liquida que produce impuesto (ver art. 236 y 239-1)</t>
  </si>
  <si>
    <t xml:space="preserve">Esa cifra siempre debe quedar en ceros ó ser una cifra negativa, pues de lo contrario, si arroja una cifra POSITIVA, la DIAN </t>
  </si>
  <si>
    <t>(c )</t>
  </si>
  <si>
    <t>comida o para servicios públicos, o para viajes de vacaciones, o para ayuda a familiares, etc., etc.)</t>
  </si>
  <si>
    <t>Ese dato es un dato que cada persona natural debe estimar (se forma con los valores utilizados para</t>
  </si>
  <si>
    <t>(b)</t>
  </si>
  <si>
    <t>Ese patrimonio a Dic. 31 del Año Anterior tomado del anexo de "Renta presuntiva"</t>
  </si>
  <si>
    <t>(a)</t>
  </si>
  <si>
    <t>Notas</t>
  </si>
  <si>
    <t xml:space="preserve"> ( c) </t>
  </si>
  <si>
    <t>Diferencia patrimonial sin justificar</t>
  </si>
  <si>
    <t>Total patrimonio liquido del Presente Año que se va a declarar</t>
  </si>
  <si>
    <t>Total patrimonio liquido del Presente Año que se puede justificar</t>
  </si>
  <si>
    <t>( b )</t>
  </si>
  <si>
    <t xml:space="preserve">   Gastos No Deducibles</t>
  </si>
  <si>
    <t xml:space="preserve">   Gastos Personales</t>
  </si>
  <si>
    <t>Deducciones Rentas No Laborales</t>
  </si>
  <si>
    <t>Costos y Gastos Rentas No Laborales</t>
  </si>
  <si>
    <t>Deducciones Rentas de Capital</t>
  </si>
  <si>
    <t>Costos y Gastos Rentas de Capital</t>
  </si>
  <si>
    <t>Deducciones Rentas de Trabajo</t>
  </si>
  <si>
    <t>Ganancias Ocasionales (Neto de Costos)</t>
  </si>
  <si>
    <t>Rentas de Dividendos</t>
  </si>
  <si>
    <t>Rentas de Capital</t>
  </si>
  <si>
    <t>Rentas de Pensiones</t>
  </si>
  <si>
    <t>Rentas de Trabajo</t>
  </si>
  <si>
    <t>Renta liquida Capitalizada durante 2016</t>
  </si>
  <si>
    <t>Mas : Incrementos o decrementos TEÓRICOS en Vehículos</t>
  </si>
  <si>
    <t>Mas : Incrementos o decrementos TEÓRICOS en Acciones y Aportes</t>
  </si>
  <si>
    <t>Mas : Incrementos o decrementos TEÓRICOS en bienes raíces</t>
  </si>
  <si>
    <t>el /2015 originada por :</t>
  </si>
  <si>
    <t>Mas o menos : Variación patrimonial durante</t>
  </si>
  <si>
    <t>Patrimonio liquido del Año Anterior</t>
  </si>
  <si>
    <t>*,* al final</t>
  </si>
  <si>
    <t>Totales</t>
  </si>
  <si>
    <t>Parciales</t>
  </si>
  <si>
    <t>Comentario</t>
  </si>
  <si>
    <t xml:space="preserve">Véase </t>
  </si>
  <si>
    <t>Valores</t>
  </si>
  <si>
    <t>Conceptos</t>
  </si>
  <si>
    <t>CONCILIACIÓN PATRIMONIAL</t>
  </si>
  <si>
    <t xml:space="preserve">ANEXOS DECLARACION DE RENTA </t>
  </si>
  <si>
    <t>(+) Otros Ingresos Laborales</t>
  </si>
  <si>
    <t>Otros Activos</t>
  </si>
  <si>
    <r>
      <t>(-) Ganancia Ocasional Exenta por Donaciones y Actos Juridicos Intervivos (</t>
    </r>
    <r>
      <rPr>
        <i/>
        <sz val="11"/>
        <color rgb="FFFF0000"/>
        <rFont val="Calibri"/>
        <family val="2"/>
        <scheme val="minor"/>
      </rPr>
      <t>Hasta 2.290 UVT</t>
    </r>
    <r>
      <rPr>
        <sz val="11"/>
        <rFont val="Calibri"/>
        <family val="2"/>
        <scheme val="minor"/>
      </rPr>
      <t>)</t>
    </r>
  </si>
  <si>
    <r>
      <t>(-) Ganancias Ocasional Exenta por Porción Conyugal (</t>
    </r>
    <r>
      <rPr>
        <i/>
        <sz val="11"/>
        <color rgb="FFFF0000"/>
        <rFont val="Calibri"/>
        <family val="2"/>
        <scheme val="minor"/>
      </rPr>
      <t>Hasta 3.490 UVT</t>
    </r>
    <r>
      <rPr>
        <sz val="11"/>
        <rFont val="Calibri"/>
        <family val="2"/>
        <scheme val="minor"/>
      </rPr>
      <t>)</t>
    </r>
  </si>
  <si>
    <r>
      <t>(-) Ganancia Ocasional Exenta por Herencias, Legados (</t>
    </r>
    <r>
      <rPr>
        <i/>
        <sz val="11"/>
        <color rgb="FFFF0000"/>
        <rFont val="Calibri"/>
        <family val="2"/>
        <scheme val="minor"/>
      </rPr>
      <t>Hasta 3.490 UVT</t>
    </r>
    <r>
      <rPr>
        <sz val="11"/>
        <rFont val="Calibri"/>
        <family val="2"/>
        <scheme val="minor"/>
      </rPr>
      <t>)</t>
    </r>
  </si>
  <si>
    <t>(+) Donaciones y Actos Juridicos Intervivos</t>
  </si>
  <si>
    <t xml:space="preserve">(+) Herencias y Legados </t>
  </si>
  <si>
    <t>(+) Ventas de Bienes y Prestación de Servicios</t>
  </si>
  <si>
    <t>340 E.T. y 28 E.T</t>
  </si>
  <si>
    <t>(+) Intereses Presuntivos</t>
  </si>
  <si>
    <t>35 E.T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</si>
</sst>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_-* #,##0.0_-;\-* #,##0.0_-;_-* &quot;-&quot;_-;_-@_-"/>
    <numFmt numFmtId="167" formatCode="_-* #,##0.000_-;\-* #,##0.000_-;_-* &quot;-&quot;_-;_-@_-"/>
    <numFmt numFmtId="168" formatCode="_-* #,##0.0000_-;\-* #,##0.0000_-;_-* &quot;-&quot;_-;_-@_-"/>
    <numFmt numFmtId="169" formatCode="_-* #,##0\ _P_t_a_-;\-* #,##0\ _P_t_a_-;_-* &quot;-&quot;\ _P_t_a_-;_-@_-"/>
    <numFmt numFmtId="170" formatCode="#,##0;[Red]\(#,##0\)"/>
    <numFmt numFmtId="171" formatCode="_ * #,##0_ ;_ * \-#,##0_ ;_ * &quot;-&quot;??_ ;_ @_ "/>
    <numFmt numFmtId="172" formatCode="#,##0_ ;\-#,##0\ "/>
    <numFmt numFmtId="173" formatCode="_-&quot;$&quot;* #,##0.0_-;\-&quot;$&quot;* #,##0.0_-;_-&quot;$&quot;* &quot;-&quot;??_-;_-@_-"/>
    <numFmt numFmtId="174" formatCode="#,##0;\(#,##0\)"/>
    <numFmt numFmtId="175" formatCode="#,##0_ ;[Red]\-#,##0\ "/>
  </numFmts>
  <fonts count="8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i/>
      <sz val="11"/>
      <name val="Calibri"/>
      <family val="2"/>
      <scheme val="minor"/>
    </font>
    <font>
      <b/>
      <i/>
      <sz val="11"/>
      <color theme="1"/>
      <name val="Calibri"/>
      <family val="2"/>
      <scheme val="minor"/>
    </font>
    <font>
      <b/>
      <sz val="11.5"/>
      <name val="Calibri"/>
      <family val="2"/>
      <scheme val="minor"/>
    </font>
    <font>
      <sz val="11.5"/>
      <name val="Calibri"/>
      <family val="2"/>
      <scheme val="minor"/>
    </font>
    <font>
      <sz val="10.5"/>
      <name val="Calibri"/>
      <family val="2"/>
      <scheme val="minor"/>
    </font>
    <font>
      <b/>
      <sz val="10.5"/>
      <name val="Calibri"/>
      <family val="2"/>
      <scheme val="minor"/>
    </font>
    <font>
      <i/>
      <sz val="10.5"/>
      <name val="Calibri"/>
      <family val="2"/>
      <scheme val="minor"/>
    </font>
    <font>
      <vertAlign val="superscript"/>
      <sz val="10.5"/>
      <name val="Calibri"/>
      <family val="2"/>
      <scheme val="minor"/>
    </font>
    <font>
      <b/>
      <i/>
      <sz val="10.5"/>
      <name val="Calibri"/>
      <family val="2"/>
      <scheme val="minor"/>
    </font>
    <font>
      <b/>
      <sz val="9.5"/>
      <name val="Calibri"/>
      <family val="2"/>
      <scheme val="minor"/>
    </font>
    <font>
      <b/>
      <sz val="10"/>
      <color rgb="FFFF0000"/>
      <name val="Calibri"/>
      <family val="2"/>
      <scheme val="minor"/>
    </font>
    <font>
      <b/>
      <sz val="11"/>
      <color rgb="FFFF0000"/>
      <name val="Calibri"/>
      <family val="2"/>
      <scheme val="minor"/>
    </font>
    <font>
      <b/>
      <i/>
      <sz val="11.5"/>
      <name val="Calibri"/>
      <family val="2"/>
      <scheme val="minor"/>
    </font>
    <font>
      <sz val="11"/>
      <color theme="1"/>
      <name val="Calibri "/>
    </font>
    <font>
      <b/>
      <sz val="11"/>
      <name val="Calibri "/>
    </font>
    <font>
      <b/>
      <sz val="11"/>
      <color rgb="FFFFFFFF"/>
      <name val="Calibri "/>
    </font>
    <font>
      <sz val="11"/>
      <name val="Calibri "/>
    </font>
    <font>
      <b/>
      <strike/>
      <sz val="11"/>
      <color rgb="FF808080"/>
      <name val="Calibri"/>
      <family val="2"/>
      <scheme val="minor"/>
    </font>
    <font>
      <b/>
      <sz val="11"/>
      <color rgb="FFFFFFFF"/>
      <name val="Calibri"/>
      <family val="2"/>
      <scheme val="minor"/>
    </font>
    <font>
      <sz val="11"/>
      <color rgb="FF000000"/>
      <name val="Calibri"/>
      <family val="2"/>
      <scheme val="minor"/>
    </font>
    <font>
      <i/>
      <sz val="11"/>
      <color rgb="FF808080"/>
      <name val="Calibri"/>
      <family val="2"/>
      <scheme val="minor"/>
    </font>
    <font>
      <i/>
      <sz val="11"/>
      <color rgb="FFC00000"/>
      <name val="Calibri"/>
      <family val="2"/>
      <scheme val="minor"/>
    </font>
    <font>
      <vertAlign val="superscript"/>
      <sz val="11"/>
      <name val="Calibri"/>
      <family val="2"/>
      <scheme val="minor"/>
    </font>
    <font>
      <i/>
      <sz val="11"/>
      <name val="Calibri"/>
      <family val="2"/>
      <scheme val="minor"/>
    </font>
    <font>
      <sz val="12"/>
      <color theme="1"/>
      <name val="Calibri"/>
      <family val="2"/>
      <scheme val="minor"/>
    </font>
    <font>
      <sz val="11"/>
      <color theme="0"/>
      <name val="Calibri "/>
    </font>
    <font>
      <b/>
      <sz val="12"/>
      <color theme="0"/>
      <name val="Calibri"/>
      <family val="2"/>
      <scheme val="minor"/>
    </font>
    <font>
      <sz val="10"/>
      <color rgb="FF000000"/>
      <name val="Arial"/>
      <family val="2"/>
    </font>
    <font>
      <b/>
      <sz val="10"/>
      <color rgb="FF000000"/>
      <name val="Arial Narrow"/>
      <family val="2"/>
    </font>
    <font>
      <b/>
      <sz val="38"/>
      <color rgb="FF000000"/>
      <name val="Arial Narrow"/>
      <family val="2"/>
    </font>
    <font>
      <sz val="6"/>
      <color rgb="FF000000"/>
      <name val="Arial"/>
      <family val="2"/>
    </font>
    <font>
      <b/>
      <sz val="10"/>
      <color rgb="FF000000"/>
      <name val="Arial"/>
      <family val="2"/>
    </font>
    <font>
      <sz val="10"/>
      <color theme="1"/>
      <name val="Arial"/>
      <family val="2"/>
    </font>
    <font>
      <sz val="8"/>
      <color rgb="FF000000"/>
      <name val="Arial"/>
      <family val="2"/>
    </font>
    <font>
      <sz val="4"/>
      <color rgb="FF000000"/>
      <name val="Arial"/>
      <family val="2"/>
    </font>
    <font>
      <sz val="5"/>
      <color rgb="FF000000"/>
      <name val="Arial"/>
      <family val="2"/>
    </font>
    <font>
      <sz val="3"/>
      <color rgb="FF000000"/>
      <name val="Arial"/>
      <family val="2"/>
    </font>
    <font>
      <i/>
      <sz val="10.5"/>
      <color rgb="FFFF0000"/>
      <name val="Calibri"/>
      <family val="2"/>
      <scheme val="minor"/>
    </font>
    <font>
      <sz val="10.5"/>
      <color rgb="FFFF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sz val="24"/>
      <color rgb="FFFF0000"/>
      <name val="Calibri"/>
      <family val="2"/>
      <scheme val="minor"/>
    </font>
    <font>
      <sz val="11"/>
      <color theme="0"/>
      <name val="Calibri"/>
      <family val="2"/>
      <scheme val="minor"/>
    </font>
    <font>
      <i/>
      <sz val="11"/>
      <color rgb="FFFF0000"/>
      <name val="Calibri"/>
      <family val="2"/>
      <scheme val="minor"/>
    </font>
    <font>
      <b/>
      <sz val="12"/>
      <color theme="1"/>
      <name val="Calibri"/>
      <family val="2"/>
      <scheme val="minor"/>
    </font>
    <font>
      <b/>
      <u/>
      <sz val="10"/>
      <name val="Verdana"/>
      <family val="2"/>
    </font>
    <font>
      <sz val="10"/>
      <name val="Verdana"/>
      <family val="2"/>
    </font>
    <font>
      <sz val="10"/>
      <name val="Arial"/>
      <family val="2"/>
    </font>
    <font>
      <b/>
      <sz val="10"/>
      <color indexed="10"/>
      <name val="Verdana"/>
      <family val="2"/>
    </font>
    <font>
      <sz val="10"/>
      <color indexed="12"/>
      <name val="Verdana"/>
      <family val="2"/>
    </font>
    <font>
      <b/>
      <sz val="10"/>
      <name val="Verdana"/>
      <family val="2"/>
    </font>
    <font>
      <sz val="10"/>
      <color indexed="10"/>
      <name val="Verdana"/>
      <family val="2"/>
    </font>
    <font>
      <sz val="9"/>
      <color indexed="81"/>
      <name val="Tahoma"/>
      <family val="2"/>
    </font>
    <font>
      <sz val="9"/>
      <color indexed="10"/>
      <name val="Tahoma"/>
      <family val="2"/>
    </font>
    <font>
      <sz val="9"/>
      <color indexed="81"/>
      <name val="Arial"/>
      <family val="2"/>
    </font>
    <font>
      <sz val="9"/>
      <color rgb="FF000000"/>
      <name val="Arial"/>
      <family val="2"/>
    </font>
    <font>
      <b/>
      <i/>
      <sz val="11"/>
      <color rgb="FFFF0000"/>
      <name val="Calibri"/>
      <family val="2"/>
      <scheme val="minor"/>
    </font>
    <font>
      <b/>
      <i/>
      <sz val="11"/>
      <color rgb="FFFF0000"/>
      <name val="Calibri"/>
      <family val="2"/>
    </font>
    <font>
      <sz val="11"/>
      <color theme="1"/>
      <name val="Arial"/>
      <family val="2"/>
    </font>
    <font>
      <b/>
      <sz val="11"/>
      <color rgb="FF000000"/>
      <name val="Arial"/>
      <family val="2"/>
    </font>
    <font>
      <sz val="11"/>
      <color rgb="FF000000"/>
      <name val="Arial"/>
      <family val="2"/>
    </font>
    <font>
      <sz val="12"/>
      <color theme="1"/>
      <name val="Arial"/>
      <family val="2"/>
    </font>
    <font>
      <b/>
      <sz val="12"/>
      <color rgb="FF000000"/>
      <name val="Arial"/>
      <family val="2"/>
    </font>
    <font>
      <sz val="12"/>
      <color rgb="FF000000"/>
      <name val="Arial"/>
      <family val="2"/>
    </font>
    <font>
      <b/>
      <sz val="14"/>
      <color rgb="FF000000"/>
      <name val="Arial"/>
      <family val="2"/>
    </font>
    <font>
      <i/>
      <sz val="11"/>
      <color theme="1"/>
      <name val="Calibri"/>
      <family val="2"/>
      <scheme val="minor"/>
    </font>
    <font>
      <b/>
      <sz val="14"/>
      <name val="Verdana"/>
      <family val="2"/>
    </font>
    <font>
      <b/>
      <sz val="10"/>
      <color rgb="FFFF0000"/>
      <name val="Verdana"/>
      <family val="2"/>
    </font>
    <font>
      <b/>
      <sz val="10"/>
      <color theme="0"/>
      <name val="Verdana"/>
      <family val="2"/>
    </font>
    <font>
      <sz val="8"/>
      <name val="Calibri"/>
      <family val="2"/>
      <scheme val="minor"/>
    </font>
    <font>
      <b/>
      <sz val="14"/>
      <color theme="1"/>
      <name val="Calibri"/>
      <family val="2"/>
      <scheme val="minor"/>
    </font>
    <font>
      <sz val="14"/>
      <color theme="1"/>
      <name val="Calibri"/>
      <family val="2"/>
      <scheme val="minor"/>
    </font>
    <font>
      <b/>
      <sz val="20"/>
      <name val="Verdana"/>
      <family val="2"/>
    </font>
    <font>
      <b/>
      <sz val="18"/>
      <name val="Verdana"/>
      <family val="2"/>
    </font>
  </fonts>
  <fills count="29">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1F1F1"/>
      </patternFill>
    </fill>
    <fill>
      <patternFill patternType="solid">
        <fgColor theme="0"/>
        <bgColor indexed="64"/>
      </patternFill>
    </fill>
    <fill>
      <patternFill patternType="solid">
        <fgColor rgb="FFDCE6F0"/>
      </patternFill>
    </fill>
    <fill>
      <patternFill patternType="solid">
        <fgColor rgb="FFCCFF99"/>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B8CCE3"/>
      </patternFill>
    </fill>
    <fill>
      <patternFill patternType="solid">
        <fgColor theme="9" tint="0.59999389629810485"/>
        <bgColor indexed="64"/>
      </patternFill>
    </fill>
    <fill>
      <patternFill patternType="solid">
        <fgColor rgb="FFFFFFFF"/>
        <bgColor indexed="64"/>
      </patternFill>
    </fill>
    <fill>
      <patternFill patternType="solid">
        <fgColor rgb="FFCCFFCC"/>
        <bgColor indexed="64"/>
      </patternFill>
    </fill>
    <fill>
      <patternFill patternType="solid">
        <fgColor rgb="FF008000"/>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249977111117893"/>
        <bgColor indexed="64"/>
      </patternFill>
    </fill>
    <fill>
      <patternFill patternType="solid">
        <fgColor theme="8" tint="0.39997558519241921"/>
        <bgColor indexed="64"/>
      </patternFill>
    </fill>
  </fills>
  <borders count="21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style="thin">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style="medium">
        <color auto="1"/>
      </top>
      <bottom style="medium">
        <color auto="1"/>
      </bottom>
      <diagonal/>
    </border>
    <border>
      <left style="thin">
        <color rgb="FF000000"/>
      </left>
      <right/>
      <top style="medium">
        <color auto="1"/>
      </top>
      <bottom style="thin">
        <color rgb="FF000000"/>
      </bottom>
      <diagonal/>
    </border>
    <border>
      <left/>
      <right style="medium">
        <color auto="1"/>
      </right>
      <top style="medium">
        <color auto="1"/>
      </top>
      <bottom style="thin">
        <color rgb="FF000000"/>
      </bottom>
      <diagonal/>
    </border>
    <border>
      <left/>
      <right style="medium">
        <color auto="1"/>
      </right>
      <top style="thin">
        <color rgb="FF000000"/>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style="thin">
        <color rgb="FF000000"/>
      </top>
      <bottom style="thin">
        <color rgb="FF000000"/>
      </bottom>
      <diagonal/>
    </border>
    <border>
      <left style="medium">
        <color auto="1"/>
      </left>
      <right style="medium">
        <color auto="1"/>
      </right>
      <top/>
      <bottom style="thin">
        <color rgb="FF000000"/>
      </bottom>
      <diagonal/>
    </border>
    <border>
      <left/>
      <right style="medium">
        <color auto="1"/>
      </right>
      <top/>
      <bottom/>
      <diagonal/>
    </border>
    <border>
      <left style="thin">
        <color auto="1"/>
      </left>
      <right style="medium">
        <color auto="1"/>
      </right>
      <top style="thin">
        <color auto="1"/>
      </top>
      <bottom/>
      <diagonal/>
    </border>
    <border>
      <left style="thin">
        <color rgb="FF000000"/>
      </left>
      <right style="thin">
        <color rgb="FF000000"/>
      </right>
      <top style="medium">
        <color auto="1"/>
      </top>
      <bottom style="thin">
        <color rgb="FF000000"/>
      </bottom>
      <diagonal/>
    </border>
    <border>
      <left style="medium">
        <color auto="1"/>
      </left>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medium">
        <color auto="1"/>
      </top>
      <bottom style="medium">
        <color auto="1"/>
      </bottom>
      <diagonal/>
    </border>
    <border>
      <left/>
      <right/>
      <top style="medium">
        <color auto="1"/>
      </top>
      <bottom/>
      <diagonal/>
    </border>
    <border>
      <left style="medium">
        <color auto="1"/>
      </left>
      <right/>
      <top/>
      <bottom/>
      <diagonal/>
    </border>
    <border>
      <left/>
      <right/>
      <top style="thin">
        <color rgb="FF000000"/>
      </top>
      <bottom style="thin">
        <color rgb="FF000000"/>
      </bottom>
      <diagonal/>
    </border>
    <border>
      <left style="medium">
        <color auto="1"/>
      </left>
      <right/>
      <top/>
      <bottom style="thin">
        <color rgb="FF000000"/>
      </bottom>
      <diagonal/>
    </border>
    <border>
      <left style="thin">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bottom style="medium">
        <color auto="1"/>
      </bottom>
      <diagonal/>
    </border>
    <border>
      <left/>
      <right style="thin">
        <color rgb="FF000000"/>
      </right>
      <top style="thin">
        <color rgb="FF000000"/>
      </top>
      <bottom style="medium">
        <color auto="1"/>
      </bottom>
      <diagonal/>
    </border>
    <border>
      <left/>
      <right/>
      <top style="medium">
        <color auto="1"/>
      </top>
      <bottom style="thin">
        <color rgb="FF000000"/>
      </bottom>
      <diagonal/>
    </border>
    <border>
      <left/>
      <right style="medium">
        <color auto="1"/>
      </right>
      <top style="thin">
        <color rgb="FF000000"/>
      </top>
      <bottom style="medium">
        <color auto="1"/>
      </bottom>
      <diagonal/>
    </border>
    <border>
      <left/>
      <right style="thin">
        <color rgb="FF000000"/>
      </right>
      <top style="medium">
        <color auto="1"/>
      </top>
      <bottom style="thin">
        <color rgb="FF00000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style="thick">
        <color rgb="FF000000"/>
      </right>
      <top/>
      <bottom/>
      <diagonal/>
    </border>
    <border>
      <left/>
      <right style="medium">
        <color rgb="FF008000"/>
      </right>
      <top/>
      <bottom style="medium">
        <color rgb="FF000000"/>
      </bottom>
      <diagonal/>
    </border>
    <border>
      <left/>
      <right style="thick">
        <color rgb="FF000000"/>
      </right>
      <top/>
      <bottom style="medium">
        <color rgb="FF008000"/>
      </bottom>
      <diagonal/>
    </border>
    <border>
      <left style="medium">
        <color rgb="FF008000"/>
      </left>
      <right style="medium">
        <color rgb="FF000000"/>
      </right>
      <top/>
      <bottom style="medium">
        <color rgb="FF008000"/>
      </bottom>
      <diagonal/>
    </border>
    <border>
      <left/>
      <right style="thick">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8000"/>
      </left>
      <right/>
      <top/>
      <bottom style="medium">
        <color rgb="FF000000"/>
      </bottom>
      <diagonal/>
    </border>
    <border>
      <left/>
      <right style="medium">
        <color rgb="FF000000"/>
      </right>
      <top/>
      <bottom style="medium">
        <color rgb="FF008000"/>
      </bottom>
      <diagonal/>
    </border>
    <border>
      <left style="medium">
        <color rgb="FF008000"/>
      </left>
      <right/>
      <top style="medium">
        <color rgb="FF000000"/>
      </top>
      <bottom/>
      <diagonal/>
    </border>
    <border>
      <left style="medium">
        <color rgb="FF000000"/>
      </left>
      <right/>
      <top style="medium">
        <color rgb="FF000000"/>
      </top>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style="medium">
        <color rgb="FF000000"/>
      </bottom>
      <diagonal/>
    </border>
    <border>
      <left/>
      <right/>
      <top style="medium">
        <color rgb="FF008000"/>
      </top>
      <bottom style="medium">
        <color rgb="FF000000"/>
      </bottom>
      <diagonal/>
    </border>
    <border>
      <left/>
      <right style="medium">
        <color rgb="FF008000"/>
      </right>
      <top style="medium">
        <color rgb="FF008000"/>
      </top>
      <bottom style="medium">
        <color rgb="FF000000"/>
      </bottom>
      <diagonal/>
    </border>
    <border>
      <left style="medium">
        <color rgb="FF008000"/>
      </left>
      <right style="medium">
        <color rgb="FF000000"/>
      </right>
      <top style="medium">
        <color rgb="FF008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8000"/>
      </right>
      <top style="medium">
        <color rgb="FF000000"/>
      </top>
      <bottom/>
      <diagonal/>
    </border>
    <border>
      <left style="medium">
        <color rgb="FF000000"/>
      </left>
      <right style="medium">
        <color rgb="FF000000"/>
      </right>
      <top style="medium">
        <color rgb="FF000000"/>
      </top>
      <bottom/>
      <diagonal/>
    </border>
    <border>
      <left/>
      <right style="thick">
        <color rgb="FF000000"/>
      </right>
      <top style="medium">
        <color rgb="FF000000"/>
      </top>
      <bottom/>
      <diagonal/>
    </border>
    <border>
      <left/>
      <right style="medium">
        <color rgb="FF000000"/>
      </right>
      <top style="medium">
        <color auto="1"/>
      </top>
      <bottom/>
      <diagonal/>
    </border>
    <border>
      <left style="medium">
        <color rgb="FF000000"/>
      </left>
      <right/>
      <top style="medium">
        <color auto="1"/>
      </top>
      <bottom/>
      <diagonal/>
    </border>
    <border>
      <left/>
      <right style="medium">
        <color rgb="FF000000"/>
      </right>
      <top/>
      <bottom style="medium">
        <color auto="1"/>
      </bottom>
      <diagonal/>
    </border>
    <border>
      <left style="medium">
        <color rgb="FF000000"/>
      </left>
      <right/>
      <top/>
      <bottom style="medium">
        <color auto="1"/>
      </bottom>
      <diagonal/>
    </border>
    <border>
      <left style="medium">
        <color auto="1"/>
      </left>
      <right style="medium">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thin">
        <color rgb="FF000000"/>
      </top>
      <bottom style="thin">
        <color auto="1"/>
      </bottom>
      <diagonal/>
    </border>
    <border>
      <left style="thin">
        <color rgb="FF000000"/>
      </left>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thin">
        <color auto="1"/>
      </left>
      <right style="medium">
        <color auto="1"/>
      </right>
      <top/>
      <bottom style="medium">
        <color auto="1"/>
      </bottom>
      <diagonal/>
    </border>
    <border>
      <left style="thick">
        <color indexed="21"/>
      </left>
      <right/>
      <top style="thick">
        <color indexed="21"/>
      </top>
      <bottom style="thick">
        <color indexed="21"/>
      </bottom>
      <diagonal/>
    </border>
    <border>
      <left style="thick">
        <color indexed="21"/>
      </left>
      <right/>
      <top style="thick">
        <color indexed="21"/>
      </top>
      <bottom/>
      <diagonal/>
    </border>
    <border>
      <left style="thick">
        <color indexed="21"/>
      </left>
      <right/>
      <top/>
      <bottom/>
      <diagonal/>
    </border>
    <border>
      <left style="thick">
        <color indexed="21"/>
      </left>
      <right/>
      <top/>
      <bottom style="thick">
        <color indexed="21"/>
      </bottom>
      <diagonal/>
    </border>
    <border>
      <left/>
      <right/>
      <top/>
      <bottom style="thick">
        <color indexed="21"/>
      </bottom>
      <diagonal/>
    </border>
    <border>
      <left/>
      <right style="thick">
        <color indexed="21"/>
      </right>
      <top style="thick">
        <color indexed="21"/>
      </top>
      <bottom style="thick">
        <color indexed="21"/>
      </bottom>
      <diagonal/>
    </border>
    <border>
      <left/>
      <right style="thick">
        <color indexed="21"/>
      </right>
      <top/>
      <bottom/>
      <diagonal/>
    </border>
    <border>
      <left/>
      <right style="thick">
        <color indexed="21"/>
      </right>
      <top/>
      <bottom style="thick">
        <color indexed="21"/>
      </bottom>
      <diagonal/>
    </border>
    <border>
      <left style="thick">
        <color indexed="21"/>
      </left>
      <right style="thick">
        <color indexed="21"/>
      </right>
      <top style="thick">
        <color indexed="21"/>
      </top>
      <bottom style="thick">
        <color indexed="21"/>
      </bottom>
      <diagonal/>
    </border>
    <border>
      <left style="thick">
        <color indexed="21"/>
      </left>
      <right style="thick">
        <color indexed="21"/>
      </right>
      <top style="thick">
        <color indexed="21"/>
      </top>
      <bottom/>
      <diagonal/>
    </border>
    <border>
      <left style="thick">
        <color indexed="21"/>
      </left>
      <right style="thick">
        <color indexed="21"/>
      </right>
      <top/>
      <bottom/>
      <diagonal/>
    </border>
    <border>
      <left style="thick">
        <color indexed="21"/>
      </left>
      <right style="thick">
        <color indexed="21"/>
      </right>
      <top/>
      <bottom style="thick">
        <color indexed="21"/>
      </bottom>
      <diagonal/>
    </border>
    <border>
      <left style="thick">
        <color indexed="21"/>
      </left>
      <right style="thick">
        <color indexed="21"/>
      </right>
      <top style="thin">
        <color indexed="15"/>
      </top>
      <bottom/>
      <diagonal/>
    </border>
    <border>
      <left style="thick">
        <color indexed="21"/>
      </left>
      <right style="thick">
        <color indexed="21"/>
      </right>
      <top style="thin">
        <color indexed="15"/>
      </top>
      <bottom style="thick">
        <color indexed="2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ck">
        <color indexed="21"/>
      </right>
      <top style="thick">
        <color indexed="21"/>
      </top>
      <bottom/>
      <diagonal/>
    </border>
    <border>
      <left style="thin">
        <color auto="1"/>
      </left>
      <right style="medium">
        <color indexed="12"/>
      </right>
      <top style="thin">
        <color auto="1"/>
      </top>
      <bottom style="medium">
        <color auto="1"/>
      </bottom>
      <diagonal/>
    </border>
    <border>
      <left style="thin">
        <color auto="1"/>
      </left>
      <right style="medium">
        <color indexed="12"/>
      </right>
      <top style="thin">
        <color auto="1"/>
      </top>
      <bottom/>
      <diagonal/>
    </border>
    <border>
      <left style="medium">
        <color indexed="12"/>
      </left>
      <right style="thin">
        <color indexed="8"/>
      </right>
      <top style="thin">
        <color auto="1"/>
      </top>
      <bottom/>
      <diagonal/>
    </border>
    <border>
      <left style="thin">
        <color auto="1"/>
      </left>
      <right style="medium">
        <color indexed="12"/>
      </right>
      <top style="thin">
        <color auto="1"/>
      </top>
      <bottom style="thin">
        <color auto="1"/>
      </bottom>
      <diagonal/>
    </border>
    <border>
      <left style="medium">
        <color indexed="12"/>
      </left>
      <right style="thin">
        <color indexed="8"/>
      </right>
      <top style="thin">
        <color auto="1"/>
      </top>
      <bottom style="thin">
        <color auto="1"/>
      </bottom>
      <diagonal/>
    </border>
    <border>
      <left/>
      <right/>
      <top/>
      <bottom style="thin">
        <color auto="1"/>
      </bottom>
      <diagonal/>
    </border>
    <border>
      <left style="thin">
        <color auto="1"/>
      </left>
      <right style="medium">
        <color indexed="12"/>
      </right>
      <top/>
      <bottom style="thin">
        <color auto="1"/>
      </bottom>
      <diagonal/>
    </border>
    <border>
      <left style="medium">
        <color indexed="12"/>
      </left>
      <right style="thin">
        <color indexed="8"/>
      </right>
      <top/>
      <bottom/>
      <diagonal/>
    </border>
    <border>
      <left style="medium">
        <color indexed="12"/>
      </left>
      <right style="thin">
        <color auto="1"/>
      </right>
      <top style="thin">
        <color auto="1"/>
      </top>
      <bottom style="medium">
        <color auto="1"/>
      </bottom>
      <diagonal/>
    </border>
    <border>
      <left style="thick">
        <color indexed="12"/>
      </left>
      <right/>
      <top/>
      <bottom style="medium">
        <color indexed="12"/>
      </bottom>
      <diagonal/>
    </border>
    <border>
      <left style="thick">
        <color indexed="12"/>
      </left>
      <right style="thick">
        <color indexed="12"/>
      </right>
      <top/>
      <bottom style="medium">
        <color indexed="12"/>
      </bottom>
      <diagonal/>
    </border>
    <border>
      <left/>
      <right/>
      <top/>
      <bottom style="medium">
        <color indexed="12"/>
      </bottom>
      <diagonal/>
    </border>
    <border>
      <left style="medium">
        <color indexed="12"/>
      </left>
      <right/>
      <top/>
      <bottom style="medium">
        <color indexed="12"/>
      </bottom>
      <diagonal/>
    </border>
    <border>
      <left/>
      <right style="medium">
        <color indexed="12"/>
      </right>
      <top/>
      <bottom style="medium">
        <color indexed="12"/>
      </bottom>
      <diagonal/>
    </border>
    <border>
      <left style="medium">
        <color indexed="12"/>
      </left>
      <right/>
      <top/>
      <bottom/>
      <diagonal/>
    </border>
    <border>
      <left/>
      <right style="medium">
        <color indexed="12"/>
      </right>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8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rgb="FF000000"/>
      </left>
      <right/>
      <top style="medium">
        <color auto="1"/>
      </top>
      <bottom style="thin">
        <color auto="1"/>
      </bottom>
      <diagonal/>
    </border>
    <border>
      <left style="thin">
        <color rgb="FF000000"/>
      </left>
      <right/>
      <top/>
      <bottom style="thin">
        <color auto="1"/>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style="medium">
        <color auto="1"/>
      </right>
      <top style="thin">
        <color rgb="FF000000"/>
      </top>
      <bottom style="medium">
        <color indexed="64"/>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medium">
        <color indexed="12"/>
      </left>
      <right/>
      <top style="medium">
        <color theme="8" tint="-0.249977111117893"/>
      </top>
      <bottom/>
      <diagonal/>
    </border>
    <border>
      <left/>
      <right style="medium">
        <color indexed="12"/>
      </right>
      <top style="medium">
        <color theme="8" tint="-0.249977111117893"/>
      </top>
      <bottom/>
      <diagonal/>
    </border>
    <border>
      <left style="medium">
        <color indexed="12"/>
      </left>
      <right style="medium">
        <color theme="8" tint="-0.249977111117893"/>
      </right>
      <top style="medium">
        <color theme="8" tint="-0.249977111117893"/>
      </top>
      <bottom/>
      <diagonal/>
    </border>
    <border>
      <left style="medium">
        <color theme="8" tint="-0.249977111117893"/>
      </left>
      <right/>
      <top/>
      <bottom/>
      <diagonal/>
    </border>
    <border>
      <left style="medium">
        <color indexed="12"/>
      </left>
      <right style="medium">
        <color theme="8" tint="-0.249977111117893"/>
      </right>
      <top/>
      <bottom/>
      <diagonal/>
    </border>
    <border>
      <left style="medium">
        <color theme="8" tint="-0.249977111117893"/>
      </left>
      <right/>
      <top/>
      <bottom style="medium">
        <color indexed="12"/>
      </bottom>
      <diagonal/>
    </border>
    <border>
      <left style="medium">
        <color indexed="12"/>
      </left>
      <right style="medium">
        <color theme="8" tint="-0.249977111117893"/>
      </right>
      <top/>
      <bottom style="medium">
        <color indexed="12"/>
      </bottom>
      <diagonal/>
    </border>
    <border>
      <left style="medium">
        <color theme="8" tint="-0.249977111117893"/>
      </left>
      <right/>
      <top/>
      <bottom style="thin">
        <color auto="1"/>
      </bottom>
      <diagonal/>
    </border>
    <border>
      <left style="medium">
        <color indexed="12"/>
      </left>
      <right style="medium">
        <color theme="8" tint="-0.249977111117893"/>
      </right>
      <top style="thin">
        <color auto="1"/>
      </top>
      <bottom style="thin">
        <color auto="1"/>
      </bottom>
      <diagonal/>
    </border>
    <border>
      <left style="medium">
        <color indexed="12"/>
      </left>
      <right style="medium">
        <color theme="8" tint="-0.249977111117893"/>
      </right>
      <top style="thin">
        <color auto="1"/>
      </top>
      <bottom/>
      <diagonal/>
    </border>
    <border>
      <left style="thin">
        <color auto="1"/>
      </left>
      <right style="medium">
        <color theme="8" tint="-0.249977111117893"/>
      </right>
      <top style="thin">
        <color auto="1"/>
      </top>
      <bottom/>
      <diagonal/>
    </border>
    <border>
      <left style="medium">
        <color theme="8" tint="-0.249977111117893"/>
      </left>
      <right/>
      <top style="thin">
        <color auto="1"/>
      </top>
      <bottom style="medium">
        <color theme="8" tint="-0.249977111117893"/>
      </bottom>
      <diagonal/>
    </border>
    <border>
      <left/>
      <right/>
      <top style="thin">
        <color auto="1"/>
      </top>
      <bottom style="medium">
        <color theme="8" tint="-0.249977111117893"/>
      </bottom>
      <diagonal/>
    </border>
    <border>
      <left style="medium">
        <color indexed="12"/>
      </left>
      <right style="thin">
        <color indexed="8"/>
      </right>
      <top style="thin">
        <color auto="1"/>
      </top>
      <bottom style="medium">
        <color theme="8" tint="-0.249977111117893"/>
      </bottom>
      <diagonal/>
    </border>
    <border>
      <left style="thin">
        <color auto="1"/>
      </left>
      <right style="medium">
        <color indexed="12"/>
      </right>
      <top style="thin">
        <color auto="1"/>
      </top>
      <bottom style="medium">
        <color theme="8" tint="-0.249977111117893"/>
      </bottom>
      <diagonal/>
    </border>
    <border>
      <left style="thin">
        <color auto="1"/>
      </left>
      <right style="medium">
        <color theme="8" tint="-0.249977111117893"/>
      </right>
      <top style="thin">
        <color auto="1"/>
      </top>
      <bottom style="medium">
        <color theme="8" tint="-0.249977111117893"/>
      </bottom>
      <diagonal/>
    </border>
  </borders>
  <cellStyleXfs count="114">
    <xf numFmtId="0" fontId="0" fillId="0" borderId="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9" fontId="5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4" fillId="0" borderId="0"/>
  </cellStyleXfs>
  <cellXfs count="1132">
    <xf numFmtId="0" fontId="0" fillId="0" borderId="0" xfId="0"/>
    <xf numFmtId="0" fontId="0" fillId="0" borderId="0" xfId="0" applyBorder="1"/>
    <xf numFmtId="0" fontId="0" fillId="11" borderId="0" xfId="0" applyFill="1" applyBorder="1" applyAlignment="1">
      <alignment wrapText="1"/>
    </xf>
    <xf numFmtId="165" fontId="29" fillId="0" borderId="46" xfId="2" applyNumberFormat="1" applyFont="1" applyFill="1" applyBorder="1" applyAlignment="1">
      <alignment horizontal="center" vertical="center" wrapText="1"/>
    </xf>
    <xf numFmtId="165" fontId="29" fillId="0" borderId="48" xfId="2" applyNumberFormat="1" applyFont="1" applyFill="1" applyBorder="1" applyAlignment="1">
      <alignment horizontal="center" vertical="center" wrapText="1"/>
    </xf>
    <xf numFmtId="0" fontId="4" fillId="0" borderId="74" xfId="0" applyFont="1" applyFill="1" applyBorder="1" applyAlignment="1">
      <alignment horizontal="left" vertical="top" wrapText="1"/>
    </xf>
    <xf numFmtId="0" fontId="4" fillId="0" borderId="72" xfId="0" applyFont="1" applyFill="1" applyBorder="1" applyAlignment="1">
      <alignment horizontal="left" vertical="top" wrapText="1"/>
    </xf>
    <xf numFmtId="0" fontId="5" fillId="12" borderId="6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72" xfId="0" applyBorder="1"/>
    <xf numFmtId="0" fontId="0" fillId="0" borderId="0" xfId="0" applyBorder="1" applyAlignment="1">
      <alignment horizontal="center"/>
    </xf>
    <xf numFmtId="0" fontId="0" fillId="0" borderId="63" xfId="0" applyBorder="1" applyAlignment="1">
      <alignment horizontal="center"/>
    </xf>
    <xf numFmtId="0" fontId="3" fillId="0" borderId="18" xfId="0" applyFont="1" applyBorder="1"/>
    <xf numFmtId="0" fontId="0" fillId="0" borderId="71" xfId="0" applyBorder="1"/>
    <xf numFmtId="0" fontId="0" fillId="0" borderId="19" xfId="0" applyBorder="1"/>
    <xf numFmtId="0" fontId="0" fillId="0" borderId="2" xfId="0" applyBorder="1"/>
    <xf numFmtId="0" fontId="0" fillId="0" borderId="3" xfId="0" applyBorder="1"/>
    <xf numFmtId="0" fontId="0" fillId="0" borderId="3" xfId="0" applyBorder="1" applyAlignment="1">
      <alignment horizontal="center"/>
    </xf>
    <xf numFmtId="0" fontId="0" fillId="0" borderId="4" xfId="0" applyBorder="1" applyAlignment="1">
      <alignment horizontal="center"/>
    </xf>
    <xf numFmtId="0" fontId="0" fillId="0" borderId="72" xfId="0" applyBorder="1" applyAlignment="1">
      <alignment horizontal="center"/>
    </xf>
    <xf numFmtId="9" fontId="0" fillId="0" borderId="0" xfId="0" applyNumberFormat="1" applyBorder="1" applyAlignment="1">
      <alignment horizontal="center"/>
    </xf>
    <xf numFmtId="0" fontId="0" fillId="0" borderId="82" xfId="0" applyBorder="1" applyAlignment="1">
      <alignment horizontal="center"/>
    </xf>
    <xf numFmtId="9" fontId="0" fillId="0" borderId="83" xfId="0" applyNumberFormat="1"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18" xfId="0" applyBorder="1" applyAlignment="1">
      <alignment horizontal="center"/>
    </xf>
    <xf numFmtId="9" fontId="0" fillId="0" borderId="71" xfId="0" applyNumberFormat="1" applyBorder="1" applyAlignment="1">
      <alignment horizontal="center"/>
    </xf>
    <xf numFmtId="0" fontId="0" fillId="0" borderId="71" xfId="0" applyBorder="1" applyAlignment="1">
      <alignment horizontal="center"/>
    </xf>
    <xf numFmtId="0" fontId="0" fillId="0" borderId="19" xfId="0" applyBorder="1" applyAlignment="1">
      <alignment horizontal="center"/>
    </xf>
    <xf numFmtId="0" fontId="38" fillId="14" borderId="0" xfId="0" applyFont="1" applyFill="1" applyAlignment="1">
      <alignment wrapText="1"/>
    </xf>
    <xf numFmtId="0" fontId="38" fillId="13" borderId="91" xfId="0" applyFont="1" applyFill="1" applyBorder="1" applyAlignment="1">
      <alignment wrapText="1"/>
    </xf>
    <xf numFmtId="0" fontId="38" fillId="0" borderId="0" xfId="0" applyFont="1" applyAlignment="1">
      <alignment wrapText="1"/>
    </xf>
    <xf numFmtId="0" fontId="38" fillId="13" borderId="0" xfId="0" applyFont="1" applyFill="1" applyAlignment="1">
      <alignment vertical="center" wrapText="1"/>
    </xf>
    <xf numFmtId="0" fontId="38" fillId="0" borderId="103" xfId="0" applyFont="1" applyBorder="1" applyAlignment="1">
      <alignment vertical="center" wrapText="1"/>
    </xf>
    <xf numFmtId="0" fontId="38" fillId="13" borderId="98" xfId="0" applyFont="1" applyFill="1" applyBorder="1" applyAlignment="1">
      <alignment vertical="center" wrapText="1"/>
    </xf>
    <xf numFmtId="0" fontId="38" fillId="0" borderId="0" xfId="0" applyFont="1" applyAlignment="1">
      <alignment vertical="center" wrapText="1"/>
    </xf>
    <xf numFmtId="0" fontId="38" fillId="0" borderId="98" xfId="0" applyFont="1" applyBorder="1" applyAlignment="1">
      <alignment vertical="center" wrapText="1"/>
    </xf>
    <xf numFmtId="0" fontId="38" fillId="14" borderId="0" xfId="0" applyFont="1" applyFill="1" applyAlignment="1">
      <alignment vertical="center" wrapText="1"/>
    </xf>
    <xf numFmtId="0" fontId="38" fillId="13" borderId="96" xfId="0" applyFont="1" applyFill="1" applyBorder="1" applyAlignment="1">
      <alignment wrapText="1"/>
    </xf>
    <xf numFmtId="0" fontId="40" fillId="0" borderId="0" xfId="0" applyFont="1" applyAlignment="1">
      <alignment wrapText="1"/>
    </xf>
    <xf numFmtId="0" fontId="41" fillId="13" borderId="96" xfId="0" applyFont="1" applyFill="1" applyBorder="1" applyAlignment="1">
      <alignment wrapText="1"/>
    </xf>
    <xf numFmtId="0" fontId="36" fillId="0" borderId="0" xfId="0" applyFont="1" applyAlignment="1">
      <alignment horizontal="right" wrapText="1"/>
    </xf>
    <xf numFmtId="3" fontId="42" fillId="13" borderId="96" xfId="0" applyNumberFormat="1" applyFont="1" applyFill="1" applyBorder="1" applyAlignment="1">
      <alignment horizontal="right" wrapText="1"/>
    </xf>
    <xf numFmtId="3" fontId="40" fillId="13" borderId="96" xfId="0" applyNumberFormat="1" applyFont="1" applyFill="1" applyBorder="1" applyAlignment="1">
      <alignment horizontal="right" wrapText="1"/>
    </xf>
    <xf numFmtId="0" fontId="40" fillId="0" borderId="0" xfId="0" applyFont="1" applyAlignment="1">
      <alignment horizontal="right" wrapText="1"/>
    </xf>
    <xf numFmtId="0" fontId="40" fillId="13" borderId="96" xfId="0" applyFont="1" applyFill="1" applyBorder="1" applyAlignment="1">
      <alignment horizontal="right" wrapText="1"/>
    </xf>
    <xf numFmtId="3" fontId="40" fillId="0" borderId="0" xfId="0" applyNumberFormat="1" applyFont="1" applyAlignment="1">
      <alignment horizontal="right" wrapText="1"/>
    </xf>
    <xf numFmtId="0" fontId="38" fillId="13" borderId="98" xfId="0" applyFont="1" applyFill="1" applyBorder="1" applyAlignment="1">
      <alignment wrapText="1"/>
    </xf>
    <xf numFmtId="0" fontId="38" fillId="13" borderId="97" xfId="0" applyFont="1" applyFill="1" applyBorder="1" applyAlignment="1">
      <alignment wrapText="1"/>
    </xf>
    <xf numFmtId="0" fontId="38" fillId="14" borderId="96" xfId="0" applyFont="1" applyFill="1" applyBorder="1" applyAlignment="1">
      <alignment vertical="center" wrapText="1"/>
    </xf>
    <xf numFmtId="0" fontId="38" fillId="14" borderId="96" xfId="0" applyFont="1" applyFill="1" applyBorder="1" applyAlignment="1">
      <alignment wrapText="1"/>
    </xf>
    <xf numFmtId="0" fontId="38" fillId="14" borderId="88" xfId="0" applyFont="1" applyFill="1" applyBorder="1" applyAlignment="1">
      <alignment vertical="center" wrapText="1"/>
    </xf>
    <xf numFmtId="0" fontId="38" fillId="14" borderId="108" xfId="0" applyFont="1" applyFill="1" applyBorder="1" applyAlignment="1">
      <alignment vertical="center" wrapText="1"/>
    </xf>
    <xf numFmtId="0" fontId="38" fillId="14" borderId="0" xfId="0" applyFont="1" applyFill="1" applyAlignment="1">
      <alignment vertical="top" wrapText="1"/>
    </xf>
    <xf numFmtId="0" fontId="38" fillId="14" borderId="96" xfId="0" applyFont="1" applyFill="1" applyBorder="1" applyAlignment="1">
      <alignment vertical="top" wrapText="1"/>
    </xf>
    <xf numFmtId="0" fontId="38" fillId="0" borderId="98" xfId="0" applyFont="1" applyBorder="1" applyAlignment="1">
      <alignment vertical="top" wrapText="1"/>
    </xf>
    <xf numFmtId="0" fontId="38" fillId="14" borderId="88" xfId="0" applyFont="1" applyFill="1" applyBorder="1" applyAlignment="1">
      <alignment vertical="top" wrapText="1"/>
    </xf>
    <xf numFmtId="0" fontId="38" fillId="14" borderId="97" xfId="0" applyFont="1" applyFill="1" applyBorder="1" applyAlignment="1">
      <alignment vertical="top" wrapText="1"/>
    </xf>
    <xf numFmtId="0" fontId="38" fillId="14" borderId="88" xfId="0" applyFont="1" applyFill="1" applyBorder="1" applyAlignment="1">
      <alignment vertical="center"/>
    </xf>
    <xf numFmtId="0" fontId="38" fillId="14" borderId="0" xfId="0" applyFont="1" applyFill="1" applyAlignment="1">
      <alignment vertical="center"/>
    </xf>
    <xf numFmtId="0" fontId="38" fillId="14" borderId="91" xfId="0" applyFont="1" applyFill="1" applyBorder="1" applyAlignment="1">
      <alignment vertical="top" wrapText="1"/>
    </xf>
    <xf numFmtId="0" fontId="36" fillId="14" borderId="91" xfId="0" applyFont="1" applyFill="1" applyBorder="1" applyAlignment="1">
      <alignment vertical="top" wrapText="1"/>
    </xf>
    <xf numFmtId="0" fontId="38" fillId="14" borderId="109" xfId="0" applyFont="1" applyFill="1" applyBorder="1" applyAlignment="1">
      <alignment vertical="top" wrapText="1"/>
    </xf>
    <xf numFmtId="0" fontId="38" fillId="13" borderId="99" xfId="0" applyFont="1" applyFill="1" applyBorder="1" applyAlignment="1">
      <alignment vertical="center" wrapText="1"/>
    </xf>
    <xf numFmtId="0" fontId="0" fillId="0" borderId="18" xfId="0" applyBorder="1"/>
    <xf numFmtId="9" fontId="0" fillId="0" borderId="0" xfId="0" applyNumberFormat="1" applyBorder="1"/>
    <xf numFmtId="9" fontId="0" fillId="0" borderId="63" xfId="0" applyNumberFormat="1" applyBorder="1"/>
    <xf numFmtId="0" fontId="0" fillId="0" borderId="82" xfId="0" applyBorder="1"/>
    <xf numFmtId="9" fontId="0" fillId="0" borderId="83" xfId="0" applyNumberFormat="1" applyBorder="1"/>
    <xf numFmtId="9" fontId="0" fillId="0" borderId="84" xfId="0" applyNumberFormat="1" applyBorder="1"/>
    <xf numFmtId="0" fontId="3" fillId="0" borderId="72" xfId="0" applyFont="1" applyBorder="1" applyAlignment="1">
      <alignment horizontal="center"/>
    </xf>
    <xf numFmtId="0" fontId="0" fillId="0" borderId="63" xfId="0" applyBorder="1"/>
    <xf numFmtId="0" fontId="0" fillId="0" borderId="83" xfId="0" applyBorder="1"/>
    <xf numFmtId="9" fontId="0" fillId="0" borderId="19" xfId="0" applyNumberFormat="1" applyBorder="1"/>
    <xf numFmtId="0" fontId="5" fillId="17" borderId="66" xfId="0" applyFont="1" applyFill="1" applyBorder="1" applyAlignment="1">
      <alignment horizontal="left" vertical="top" wrapText="1"/>
    </xf>
    <xf numFmtId="0" fontId="5" fillId="17" borderId="72" xfId="0" applyFont="1" applyFill="1" applyBorder="1" applyAlignment="1">
      <alignment horizontal="left" vertical="top" wrapText="1"/>
    </xf>
    <xf numFmtId="0" fontId="0" fillId="17" borderId="2"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0" fillId="17" borderId="70"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0" fillId="18" borderId="0" xfId="0" applyFill="1"/>
    <xf numFmtId="0" fontId="3" fillId="0" borderId="20" xfId="0" applyFont="1" applyBorder="1" applyAlignment="1">
      <alignment horizontal="center"/>
    </xf>
    <xf numFmtId="0" fontId="3" fillId="0" borderId="132" xfId="0" applyFont="1" applyBorder="1" applyAlignment="1">
      <alignment horizontal="center"/>
    </xf>
    <xf numFmtId="170" fontId="4" fillId="0" borderId="46" xfId="2" applyNumberFormat="1" applyFont="1" applyFill="1" applyBorder="1" applyAlignment="1">
      <alignment vertical="center" wrapText="1"/>
    </xf>
    <xf numFmtId="170" fontId="29" fillId="0" borderId="46" xfId="2" applyNumberFormat="1" applyFont="1" applyFill="1" applyBorder="1" applyAlignment="1">
      <alignment horizontal="center" vertical="center" wrapText="1"/>
    </xf>
    <xf numFmtId="170" fontId="5" fillId="0" borderId="61" xfId="2" applyNumberFormat="1" applyFont="1" applyFill="1" applyBorder="1" applyAlignment="1">
      <alignment vertical="center" wrapText="1"/>
    </xf>
    <xf numFmtId="0" fontId="62" fillId="14" borderId="98" xfId="0" applyFont="1" applyFill="1" applyBorder="1" applyAlignment="1">
      <alignment vertical="center" wrapText="1"/>
    </xf>
    <xf numFmtId="165" fontId="0" fillId="3" borderId="10" xfId="2" applyNumberFormat="1" applyFont="1" applyFill="1" applyBorder="1" applyAlignment="1" applyProtection="1">
      <alignment vertical="center"/>
      <protection locked="0"/>
    </xf>
    <xf numFmtId="165" fontId="49" fillId="19" borderId="10" xfId="2" applyNumberFormat="1" applyFont="1" applyFill="1" applyBorder="1" applyAlignment="1" applyProtection="1">
      <alignment vertical="center"/>
      <protection locked="0"/>
    </xf>
    <xf numFmtId="165" fontId="0" fillId="3" borderId="35" xfId="2" applyNumberFormat="1" applyFont="1" applyFill="1" applyBorder="1" applyAlignment="1" applyProtection="1">
      <alignment vertical="center"/>
      <protection locked="0"/>
    </xf>
    <xf numFmtId="165" fontId="0" fillId="3" borderId="36" xfId="2" applyNumberFormat="1" applyFont="1" applyFill="1" applyBorder="1" applyAlignment="1" applyProtection="1">
      <alignment vertical="center"/>
      <protection locked="0"/>
    </xf>
    <xf numFmtId="165" fontId="0" fillId="3" borderId="33" xfId="2" applyNumberFormat="1" applyFont="1" applyFill="1" applyBorder="1" applyAlignment="1" applyProtection="1">
      <alignment vertical="center"/>
      <protection locked="0"/>
    </xf>
    <xf numFmtId="165" fontId="0" fillId="3" borderId="5"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wrapText="1"/>
      <protection locked="0"/>
    </xf>
    <xf numFmtId="165" fontId="0" fillId="3" borderId="22" xfId="2" applyNumberFormat="1" applyFont="1" applyFill="1" applyBorder="1" applyAlignment="1" applyProtection="1">
      <alignment horizontal="center" vertical="center"/>
      <protection locked="0"/>
    </xf>
    <xf numFmtId="165" fontId="0" fillId="3" borderId="138" xfId="2" applyNumberFormat="1" applyFont="1" applyFill="1" applyBorder="1" applyAlignment="1" applyProtection="1">
      <alignment horizontal="center" vertical="center"/>
      <protection locked="0"/>
    </xf>
    <xf numFmtId="165" fontId="0" fillId="3" borderId="6" xfId="2" applyNumberFormat="1" applyFont="1" applyFill="1" applyBorder="1" applyAlignment="1" applyProtection="1">
      <alignment horizontal="center" vertical="center"/>
      <protection locked="0"/>
    </xf>
    <xf numFmtId="165" fontId="0" fillId="3" borderId="10" xfId="2" applyNumberFormat="1" applyFont="1" applyFill="1" applyBorder="1" applyAlignment="1" applyProtection="1">
      <alignment horizontal="center" vertical="center"/>
      <protection locked="0"/>
    </xf>
    <xf numFmtId="165" fontId="4" fillId="3" borderId="5" xfId="2" applyNumberFormat="1" applyFont="1" applyFill="1" applyBorder="1" applyAlignment="1" applyProtection="1">
      <alignment horizontal="left" vertical="center" wrapText="1"/>
      <protection locked="0"/>
    </xf>
    <xf numFmtId="165" fontId="4" fillId="3" borderId="24" xfId="2" applyNumberFormat="1" applyFont="1" applyFill="1" applyBorder="1" applyAlignment="1" applyProtection="1">
      <alignment horizontal="left" vertical="center" wrapText="1"/>
      <protection locked="0"/>
    </xf>
    <xf numFmtId="165" fontId="4" fillId="3" borderId="61" xfId="2" applyNumberFormat="1" applyFont="1" applyFill="1" applyBorder="1" applyAlignment="1" applyProtection="1">
      <alignment horizontal="center" vertical="top" wrapText="1"/>
      <protection locked="0"/>
    </xf>
    <xf numFmtId="0" fontId="67" fillId="0" borderId="96" xfId="0" applyFont="1" applyBorder="1" applyAlignment="1">
      <alignment horizontal="center" vertical="center" wrapText="1"/>
    </xf>
    <xf numFmtId="0" fontId="67" fillId="14" borderId="96" xfId="0" applyFont="1" applyFill="1" applyBorder="1" applyAlignment="1">
      <alignment horizontal="center" vertical="center" wrapText="1"/>
    </xf>
    <xf numFmtId="0" fontId="66" fillId="0" borderId="96" xfId="0" applyFont="1" applyBorder="1" applyAlignment="1">
      <alignment horizontal="center" vertical="center" wrapText="1"/>
    </xf>
    <xf numFmtId="0" fontId="67" fillId="13" borderId="34" xfId="0" applyFont="1" applyFill="1" applyBorder="1" applyAlignment="1">
      <alignment horizontal="center" vertical="center" wrapText="1"/>
    </xf>
    <xf numFmtId="0" fontId="66" fillId="14" borderId="34" xfId="0" applyFont="1" applyFill="1" applyBorder="1" applyAlignment="1">
      <alignment horizontal="center" vertical="center" wrapText="1"/>
    </xf>
    <xf numFmtId="0" fontId="67" fillId="0" borderId="34" xfId="0" applyFont="1" applyBorder="1" applyAlignment="1">
      <alignment horizontal="center" vertical="center" wrapText="1"/>
    </xf>
    <xf numFmtId="0" fontId="66" fillId="0" borderId="77" xfId="0" applyFont="1" applyBorder="1" applyAlignment="1">
      <alignment horizontal="center" vertical="center" wrapText="1"/>
    </xf>
    <xf numFmtId="0" fontId="66" fillId="14" borderId="96" xfId="0" applyFont="1" applyFill="1" applyBorder="1" applyAlignment="1">
      <alignment horizontal="center" vertical="center" wrapText="1"/>
    </xf>
    <xf numFmtId="0" fontId="66" fillId="14" borderId="98" xfId="0" applyFont="1" applyFill="1" applyBorder="1" applyAlignment="1">
      <alignment horizontal="center" vertical="center" wrapText="1"/>
    </xf>
    <xf numFmtId="0" fontId="66" fillId="0" borderId="98" xfId="0" applyFont="1" applyBorder="1" applyAlignment="1">
      <alignment horizontal="center" vertical="center" wrapText="1"/>
    </xf>
    <xf numFmtId="0" fontId="67" fillId="0" borderId="124" xfId="0" applyFont="1" applyBorder="1" applyAlignment="1">
      <alignment horizontal="center" vertical="center" wrapText="1"/>
    </xf>
    <xf numFmtId="0" fontId="66" fillId="14" borderId="126" xfId="0" applyFont="1" applyFill="1" applyBorder="1" applyAlignment="1">
      <alignment horizontal="center" vertical="center" wrapText="1"/>
    </xf>
    <xf numFmtId="0" fontId="67" fillId="14" borderId="98" xfId="0" applyFont="1" applyFill="1" applyBorder="1" applyAlignment="1">
      <alignment horizontal="center" vertical="center" wrapText="1"/>
    </xf>
    <xf numFmtId="0" fontId="67" fillId="0" borderId="98" xfId="0" applyFont="1" applyBorder="1" applyAlignment="1">
      <alignment horizontal="center" vertical="center" wrapText="1"/>
    </xf>
    <xf numFmtId="0" fontId="65" fillId="0" borderId="0" xfId="0" applyFont="1" applyAlignment="1">
      <alignment wrapText="1"/>
    </xf>
    <xf numFmtId="0" fontId="65" fillId="13" borderId="96" xfId="0" applyFont="1" applyFill="1" applyBorder="1" applyAlignment="1">
      <alignment wrapText="1"/>
    </xf>
    <xf numFmtId="0" fontId="39" fillId="14" borderId="99" xfId="0" applyFont="1" applyFill="1" applyBorder="1" applyAlignment="1">
      <alignment vertical="center" wrapText="1"/>
    </xf>
    <xf numFmtId="0" fontId="62" fillId="14" borderId="98" xfId="0" applyFont="1" applyFill="1" applyBorder="1" applyAlignment="1">
      <alignment horizontal="center" vertical="center" wrapText="1"/>
    </xf>
    <xf numFmtId="0" fontId="62" fillId="14" borderId="88" xfId="0" applyFont="1" applyFill="1" applyBorder="1" applyAlignment="1">
      <alignment vertical="center"/>
    </xf>
    <xf numFmtId="0" fontId="62" fillId="14" borderId="90" xfId="0" applyFont="1" applyFill="1" applyBorder="1" applyAlignment="1">
      <alignment vertical="center"/>
    </xf>
    <xf numFmtId="0" fontId="0" fillId="5" borderId="0" xfId="0" applyFill="1"/>
    <xf numFmtId="0" fontId="0" fillId="5" borderId="72" xfId="0" applyFill="1" applyBorder="1"/>
    <xf numFmtId="0" fontId="0" fillId="5" borderId="82" xfId="0" applyFill="1" applyBorder="1"/>
    <xf numFmtId="0" fontId="0" fillId="5" borderId="0" xfId="0" applyFont="1" applyFill="1"/>
    <xf numFmtId="0" fontId="3" fillId="5" borderId="18" xfId="0" applyFont="1" applyFill="1" applyBorder="1"/>
    <xf numFmtId="0" fontId="0" fillId="5" borderId="129" xfId="0" applyFill="1" applyBorder="1"/>
    <xf numFmtId="165" fontId="0" fillId="5" borderId="130" xfId="0" applyNumberFormat="1" applyFill="1" applyBorder="1"/>
    <xf numFmtId="0" fontId="0" fillId="5" borderId="131" xfId="0" applyFill="1" applyBorder="1"/>
    <xf numFmtId="41" fontId="0" fillId="5" borderId="131" xfId="3" applyFont="1" applyFill="1" applyBorder="1"/>
    <xf numFmtId="0" fontId="0" fillId="5" borderId="0" xfId="0" applyFill="1" applyBorder="1" applyProtection="1">
      <protection locked="0"/>
    </xf>
    <xf numFmtId="0" fontId="0" fillId="5" borderId="0" xfId="0" applyFill="1" applyProtection="1">
      <protection locked="0"/>
    </xf>
    <xf numFmtId="0" fontId="0" fillId="5" borderId="72" xfId="0" applyFill="1" applyBorder="1" applyProtection="1">
      <protection locked="0"/>
    </xf>
    <xf numFmtId="0" fontId="0" fillId="5" borderId="63" xfId="0" applyFill="1" applyBorder="1" applyProtection="1">
      <protection locked="0"/>
    </xf>
    <xf numFmtId="3" fontId="53" fillId="0" borderId="5" xfId="34" applyNumberFormat="1" applyFont="1" applyFill="1" applyBorder="1" applyProtection="1">
      <protection locked="0"/>
    </xf>
    <xf numFmtId="3" fontId="53" fillId="0" borderId="22" xfId="34" applyNumberFormat="1" applyFont="1" applyFill="1" applyBorder="1" applyProtection="1">
      <protection locked="0"/>
    </xf>
    <xf numFmtId="3" fontId="53" fillId="5" borderId="5" xfId="34" applyNumberFormat="1" applyFont="1" applyFill="1" applyBorder="1" applyProtection="1">
      <protection locked="0"/>
    </xf>
    <xf numFmtId="3" fontId="53" fillId="5" borderId="22" xfId="34" applyNumberFormat="1" applyFont="1" applyFill="1" applyBorder="1" applyProtection="1">
      <protection locked="0"/>
    </xf>
    <xf numFmtId="0" fontId="0" fillId="5" borderId="72" xfId="0" applyFill="1" applyBorder="1" applyProtection="1"/>
    <xf numFmtId="0" fontId="0" fillId="5" borderId="18" xfId="0" applyFill="1" applyBorder="1" applyProtection="1"/>
    <xf numFmtId="0" fontId="0" fillId="5" borderId="71" xfId="0" applyFill="1" applyBorder="1" applyProtection="1"/>
    <xf numFmtId="0" fontId="0" fillId="5" borderId="19" xfId="0" applyFill="1" applyBorder="1" applyProtection="1"/>
    <xf numFmtId="0" fontId="0" fillId="5" borderId="0" xfId="0" applyFill="1" applyBorder="1" applyProtection="1"/>
    <xf numFmtId="0" fontId="0" fillId="5" borderId="63" xfId="0" applyFill="1" applyBorder="1" applyProtection="1"/>
    <xf numFmtId="0" fontId="0" fillId="5" borderId="0" xfId="0" applyFill="1" applyProtection="1"/>
    <xf numFmtId="0" fontId="57" fillId="5" borderId="133" xfId="0" applyFont="1" applyFill="1" applyBorder="1" applyAlignment="1" applyProtection="1">
      <alignment horizontal="right"/>
    </xf>
    <xf numFmtId="3" fontId="52" fillId="5" borderId="36" xfId="0" applyNumberFormat="1" applyFont="1" applyFill="1" applyBorder="1" applyAlignment="1" applyProtection="1">
      <alignment horizontal="left"/>
    </xf>
    <xf numFmtId="3" fontId="53" fillId="5" borderId="133" xfId="34" applyNumberFormat="1" applyFont="1" applyFill="1" applyBorder="1" applyProtection="1"/>
    <xf numFmtId="10" fontId="57" fillId="5" borderId="133" xfId="4" applyNumberFormat="1" applyFont="1" applyFill="1" applyBorder="1" applyProtection="1"/>
    <xf numFmtId="3" fontId="53" fillId="5" borderId="36" xfId="0" applyNumberFormat="1" applyFont="1" applyFill="1" applyBorder="1" applyAlignment="1" applyProtection="1">
      <alignment horizontal="left" indent="1"/>
    </xf>
    <xf numFmtId="3" fontId="53" fillId="5" borderId="36" xfId="0" applyNumberFormat="1" applyFont="1" applyFill="1" applyBorder="1" applyAlignment="1" applyProtection="1">
      <alignment horizontal="center"/>
    </xf>
    <xf numFmtId="3" fontId="53" fillId="5" borderId="133" xfId="34" applyNumberFormat="1" applyFont="1" applyFill="1" applyBorder="1" applyAlignment="1" applyProtection="1">
      <alignment horizontal="justify" vertical="top"/>
    </xf>
    <xf numFmtId="3" fontId="57" fillId="5" borderId="5" xfId="0" applyNumberFormat="1" applyFont="1" applyFill="1" applyBorder="1" applyAlignment="1" applyProtection="1">
      <alignment horizontal="right"/>
    </xf>
    <xf numFmtId="3" fontId="53" fillId="5" borderId="5" xfId="0" applyNumberFormat="1" applyFont="1" applyFill="1" applyBorder="1" applyAlignment="1" applyProtection="1">
      <alignment horizontal="left"/>
    </xf>
    <xf numFmtId="3" fontId="53" fillId="5" borderId="133" xfId="0" applyNumberFormat="1" applyFont="1" applyFill="1" applyBorder="1" applyProtection="1"/>
    <xf numFmtId="3" fontId="57" fillId="5" borderId="5" xfId="0" applyNumberFormat="1" applyFont="1" applyFill="1" applyBorder="1" applyProtection="1"/>
    <xf numFmtId="0" fontId="0" fillId="5" borderId="5" xfId="0" applyFill="1" applyBorder="1" applyProtection="1"/>
    <xf numFmtId="0" fontId="0" fillId="5" borderId="82" xfId="0" applyFill="1" applyBorder="1" applyProtection="1"/>
    <xf numFmtId="3" fontId="57" fillId="5" borderId="5" xfId="34" applyNumberFormat="1" applyFont="1" applyFill="1" applyBorder="1" applyProtection="1"/>
    <xf numFmtId="3" fontId="57" fillId="5" borderId="22" xfId="34" applyNumberFormat="1" applyFont="1" applyFill="1" applyBorder="1" applyProtection="1"/>
    <xf numFmtId="10" fontId="57" fillId="5" borderId="5" xfId="4" applyNumberFormat="1" applyFont="1" applyFill="1" applyBorder="1" applyProtection="1"/>
    <xf numFmtId="3" fontId="53" fillId="5" borderId="5" xfId="0" applyNumberFormat="1" applyFont="1" applyFill="1" applyBorder="1" applyProtection="1"/>
    <xf numFmtId="170" fontId="53" fillId="5" borderId="5" xfId="0" applyNumberFormat="1" applyFont="1" applyFill="1" applyBorder="1" applyProtection="1"/>
    <xf numFmtId="170" fontId="53" fillId="5" borderId="24" xfId="0" applyNumberFormat="1" applyFont="1" applyFill="1" applyBorder="1" applyProtection="1"/>
    <xf numFmtId="38" fontId="53" fillId="5" borderId="41" xfId="0" applyNumberFormat="1" applyFont="1" applyFill="1" applyBorder="1" applyProtection="1"/>
    <xf numFmtId="38" fontId="53" fillId="5" borderId="5" xfId="0" applyNumberFormat="1" applyFont="1" applyFill="1" applyBorder="1" applyProtection="1"/>
    <xf numFmtId="38" fontId="57" fillId="5" borderId="5" xfId="0" applyNumberFormat="1" applyFont="1" applyFill="1" applyBorder="1" applyProtection="1"/>
    <xf numFmtId="41" fontId="0" fillId="5" borderId="0" xfId="3" applyFont="1" applyFill="1" applyProtection="1"/>
    <xf numFmtId="0" fontId="3" fillId="5" borderId="27" xfId="0" applyFont="1" applyFill="1" applyBorder="1" applyAlignment="1" applyProtection="1">
      <alignment horizontal="center"/>
    </xf>
    <xf numFmtId="0" fontId="3" fillId="5" borderId="28" xfId="0" applyFont="1" applyFill="1" applyBorder="1" applyAlignment="1" applyProtection="1">
      <alignment horizontal="center"/>
    </xf>
    <xf numFmtId="0" fontId="3" fillId="5" borderId="29" xfId="0" applyFont="1" applyFill="1" applyBorder="1" applyAlignment="1" applyProtection="1">
      <alignment horizontal="center"/>
    </xf>
    <xf numFmtId="41" fontId="0" fillId="5" borderId="11" xfId="3" applyFont="1" applyFill="1" applyBorder="1" applyProtection="1"/>
    <xf numFmtId="0" fontId="3" fillId="5" borderId="20" xfId="0" applyFont="1" applyFill="1" applyBorder="1" applyAlignment="1" applyProtection="1">
      <alignment horizontal="center"/>
    </xf>
    <xf numFmtId="41" fontId="0" fillId="5" borderId="20" xfId="3" applyFont="1" applyFill="1" applyBorder="1" applyProtection="1"/>
    <xf numFmtId="41" fontId="0" fillId="5" borderId="21" xfId="3" applyFont="1" applyFill="1" applyBorder="1" applyProtection="1"/>
    <xf numFmtId="41" fontId="0" fillId="5" borderId="23" xfId="3" applyFont="1" applyFill="1" applyBorder="1" applyProtection="1"/>
    <xf numFmtId="0" fontId="3" fillId="5" borderId="24" xfId="0" applyFont="1" applyFill="1" applyBorder="1" applyAlignment="1" applyProtection="1">
      <alignment horizontal="center"/>
    </xf>
    <xf numFmtId="41" fontId="0" fillId="5" borderId="24" xfId="3" applyFont="1" applyFill="1" applyBorder="1" applyProtection="1"/>
    <xf numFmtId="41" fontId="0" fillId="5" borderId="25" xfId="3" applyFont="1" applyFill="1" applyBorder="1" applyProtection="1"/>
    <xf numFmtId="41" fontId="0" fillId="5" borderId="1" xfId="3" applyFont="1" applyFill="1" applyBorder="1" applyProtection="1"/>
    <xf numFmtId="41" fontId="3" fillId="5" borderId="1" xfId="3" applyFont="1" applyFill="1" applyBorder="1" applyAlignment="1" applyProtection="1">
      <alignment horizontal="center"/>
    </xf>
    <xf numFmtId="0" fontId="3" fillId="5" borderId="1" xfId="0" applyFont="1" applyFill="1" applyBorder="1" applyAlignment="1" applyProtection="1">
      <alignment horizontal="center"/>
    </xf>
    <xf numFmtId="168" fontId="0" fillId="5" borderId="11" xfId="3" applyNumberFormat="1" applyFont="1" applyFill="1" applyBorder="1" applyProtection="1"/>
    <xf numFmtId="167" fontId="0" fillId="5" borderId="14" xfId="3" applyNumberFormat="1" applyFont="1" applyFill="1" applyBorder="1" applyProtection="1"/>
    <xf numFmtId="41" fontId="0" fillId="5" borderId="5" xfId="3" applyFont="1" applyFill="1" applyBorder="1" applyProtection="1"/>
    <xf numFmtId="41" fontId="0" fillId="5" borderId="22" xfId="3" applyFont="1" applyFill="1" applyBorder="1" applyProtection="1"/>
    <xf numFmtId="41" fontId="0" fillId="5" borderId="14" xfId="3" applyFont="1" applyFill="1" applyBorder="1" applyProtection="1"/>
    <xf numFmtId="166" fontId="0" fillId="5" borderId="14" xfId="3" applyNumberFormat="1" applyFont="1" applyFill="1" applyBorder="1" applyProtection="1"/>
    <xf numFmtId="165" fontId="0" fillId="3" borderId="41" xfId="2" applyNumberFormat="1" applyFont="1" applyFill="1" applyBorder="1" applyAlignment="1" applyProtection="1">
      <alignment horizontal="center" vertical="center"/>
      <protection locked="0"/>
    </xf>
    <xf numFmtId="0" fontId="0" fillId="5" borderId="0" xfId="0" applyFill="1" applyAlignment="1" applyProtection="1">
      <alignment horizontal="center"/>
    </xf>
    <xf numFmtId="165" fontId="0" fillId="5" borderId="0" xfId="2" applyNumberFormat="1" applyFont="1" applyFill="1" applyProtection="1"/>
    <xf numFmtId="0" fontId="0" fillId="0" borderId="0" xfId="0" applyProtection="1"/>
    <xf numFmtId="0" fontId="0" fillId="0" borderId="0" xfId="0" applyAlignment="1" applyProtection="1">
      <alignment horizontal="center"/>
    </xf>
    <xf numFmtId="165" fontId="0" fillId="0" borderId="0" xfId="2" applyNumberFormat="1" applyFont="1" applyProtection="1"/>
    <xf numFmtId="0" fontId="2" fillId="16" borderId="11" xfId="0" applyFont="1" applyFill="1" applyBorder="1" applyProtection="1"/>
    <xf numFmtId="0" fontId="2" fillId="16" borderId="12" xfId="0" applyFont="1" applyFill="1" applyBorder="1" applyAlignment="1" applyProtection="1">
      <alignment horizontal="center" vertical="center"/>
    </xf>
    <xf numFmtId="165" fontId="2" fillId="16" borderId="9" xfId="2" applyNumberFormat="1" applyFont="1" applyFill="1" applyBorder="1" applyAlignment="1" applyProtection="1">
      <alignment horizontal="center"/>
    </xf>
    <xf numFmtId="165" fontId="2" fillId="16" borderId="13" xfId="2" applyNumberFormat="1" applyFont="1" applyFill="1" applyBorder="1" applyProtection="1"/>
    <xf numFmtId="0" fontId="2" fillId="16" borderId="38" xfId="0" applyFont="1" applyFill="1" applyBorder="1" applyProtection="1"/>
    <xf numFmtId="41" fontId="2" fillId="16" borderId="128" xfId="3" applyFont="1" applyFill="1" applyBorder="1" applyAlignment="1" applyProtection="1">
      <alignment horizontal="center"/>
    </xf>
    <xf numFmtId="0" fontId="0" fillId="0" borderId="14" xfId="0" applyBorder="1" applyAlignment="1" applyProtection="1">
      <alignment horizontal="left"/>
    </xf>
    <xf numFmtId="0" fontId="0" fillId="0" borderId="7" xfId="0" applyBorder="1" applyAlignment="1" applyProtection="1">
      <alignment horizontal="center" vertical="center"/>
    </xf>
    <xf numFmtId="0" fontId="47" fillId="20" borderId="14" xfId="0" applyFont="1" applyFill="1" applyBorder="1" applyAlignment="1" applyProtection="1">
      <alignment horizontal="left"/>
    </xf>
    <xf numFmtId="0" fontId="47" fillId="20" borderId="16" xfId="0" applyFont="1" applyFill="1" applyBorder="1" applyAlignment="1" applyProtection="1">
      <alignment horizontal="left" wrapText="1"/>
    </xf>
    <xf numFmtId="0" fontId="0" fillId="0" borderId="8" xfId="0" applyBorder="1" applyAlignment="1" applyProtection="1">
      <alignment horizontal="center" vertical="center"/>
    </xf>
    <xf numFmtId="0" fontId="3" fillId="17" borderId="17" xfId="0" applyFont="1" applyFill="1" applyBorder="1" applyAlignment="1" applyProtection="1">
      <alignment horizontal="left"/>
    </xf>
    <xf numFmtId="0" fontId="3" fillId="17" borderId="18" xfId="0" applyFont="1" applyFill="1" applyBorder="1" applyAlignment="1" applyProtection="1">
      <alignment horizontal="center" vertical="center"/>
    </xf>
    <xf numFmtId="0" fontId="0" fillId="0" borderId="11" xfId="0" applyFill="1" applyBorder="1" applyAlignment="1" applyProtection="1">
      <alignment horizontal="left"/>
    </xf>
    <xf numFmtId="0" fontId="0" fillId="0" borderId="12" xfId="0" applyBorder="1" applyAlignment="1" applyProtection="1">
      <alignment horizontal="center" vertical="center"/>
    </xf>
    <xf numFmtId="0" fontId="0" fillId="0" borderId="14" xfId="0" applyFill="1" applyBorder="1" applyAlignment="1" applyProtection="1">
      <alignment horizontal="left" wrapText="1"/>
    </xf>
    <xf numFmtId="0" fontId="0" fillId="0" borderId="7" xfId="0" applyBorder="1" applyAlignment="1" applyProtection="1">
      <alignment horizontal="center" vertical="center" wrapText="1"/>
    </xf>
    <xf numFmtId="0" fontId="0" fillId="0" borderId="16" xfId="0" applyFill="1" applyBorder="1" applyAlignment="1" applyProtection="1">
      <alignment horizontal="left"/>
    </xf>
    <xf numFmtId="0" fontId="3" fillId="17" borderId="31" xfId="0" applyFont="1" applyFill="1" applyBorder="1" applyAlignment="1" applyProtection="1">
      <alignment horizontal="left"/>
    </xf>
    <xf numFmtId="0" fontId="3" fillId="17" borderId="32" xfId="0" applyFont="1" applyFill="1" applyBorder="1" applyAlignment="1" applyProtection="1">
      <alignment horizontal="center" vertical="center"/>
    </xf>
    <xf numFmtId="0" fontId="0" fillId="0" borderId="20" xfId="0" applyBorder="1" applyAlignment="1" applyProtection="1">
      <alignment horizontal="center" vertical="center"/>
    </xf>
    <xf numFmtId="0" fontId="0" fillId="0" borderId="5" xfId="0" applyBorder="1" applyAlignment="1" applyProtection="1">
      <alignment horizontal="center" vertical="center"/>
    </xf>
    <xf numFmtId="0" fontId="0" fillId="0" borderId="14" xfId="0" applyBorder="1" applyAlignment="1" applyProtection="1">
      <alignment horizontal="left" vertical="center" wrapText="1"/>
    </xf>
    <xf numFmtId="0" fontId="0" fillId="0" borderId="5" xfId="0"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9" fillId="0" borderId="14"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4" fillId="0" borderId="24" xfId="0" applyFont="1" applyFill="1" applyBorder="1" applyAlignment="1" applyProtection="1">
      <alignment horizontal="center" vertical="center" wrapText="1"/>
    </xf>
    <xf numFmtId="0" fontId="3" fillId="17" borderId="30" xfId="0" applyFont="1" applyFill="1" applyBorder="1" applyAlignment="1" applyProtection="1">
      <alignment horizontal="center" vertical="center"/>
    </xf>
    <xf numFmtId="0" fontId="12" fillId="0" borderId="11" xfId="0" applyFont="1" applyFill="1" applyBorder="1" applyAlignment="1" applyProtection="1">
      <alignment horizontal="left" vertical="top" wrapText="1"/>
    </xf>
    <xf numFmtId="0" fontId="4" fillId="0" borderId="20" xfId="0" applyFont="1" applyFill="1" applyBorder="1" applyAlignment="1" applyProtection="1">
      <alignment horizontal="center" vertical="center" wrapText="1"/>
    </xf>
    <xf numFmtId="0" fontId="10" fillId="0" borderId="14" xfId="0" applyFont="1" applyFill="1" applyBorder="1" applyAlignment="1" applyProtection="1">
      <alignment horizontal="left" vertical="top" wrapText="1"/>
    </xf>
    <xf numFmtId="0" fontId="4" fillId="0" borderId="41" xfId="0" applyFont="1" applyFill="1" applyBorder="1" applyAlignment="1" applyProtection="1">
      <alignment horizontal="center" vertical="center" wrapText="1"/>
    </xf>
    <xf numFmtId="0" fontId="10" fillId="0" borderId="14"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4" fillId="0" borderId="38" xfId="0" applyFont="1" applyFill="1" applyBorder="1" applyAlignment="1" applyProtection="1">
      <alignment horizontal="left" wrapText="1"/>
    </xf>
    <xf numFmtId="0" fontId="4" fillId="0" borderId="16" xfId="0" applyFont="1" applyFill="1" applyBorder="1" applyAlignment="1" applyProtection="1">
      <alignment horizontal="left" wrapText="1"/>
    </xf>
    <xf numFmtId="0" fontId="4" fillId="0" borderId="6" xfId="0" applyFont="1" applyFill="1" applyBorder="1" applyAlignment="1" applyProtection="1">
      <alignment horizontal="center" vertical="center" wrapText="1"/>
    </xf>
    <xf numFmtId="0" fontId="10" fillId="0" borderId="38" xfId="0" applyFont="1" applyFill="1" applyBorder="1" applyAlignment="1" applyProtection="1">
      <alignment horizontal="left" wrapText="1"/>
    </xf>
    <xf numFmtId="0" fontId="4" fillId="0" borderId="41" xfId="0" applyFont="1" applyFill="1" applyBorder="1" applyAlignment="1" applyProtection="1">
      <alignment horizontal="center" wrapText="1"/>
    </xf>
    <xf numFmtId="0" fontId="4" fillId="0" borderId="23" xfId="0" applyFont="1" applyFill="1" applyBorder="1" applyAlignment="1" applyProtection="1">
      <alignment horizontal="left" wrapText="1"/>
    </xf>
    <xf numFmtId="0" fontId="4" fillId="0" borderId="138" xfId="0" applyFont="1" applyFill="1" applyBorder="1" applyAlignment="1" applyProtection="1">
      <alignment horizontal="center" vertical="center" wrapText="1"/>
    </xf>
    <xf numFmtId="0" fontId="4" fillId="5" borderId="0" xfId="0" applyFont="1" applyFill="1" applyBorder="1" applyAlignment="1" applyProtection="1">
      <alignment vertical="top" wrapText="1"/>
    </xf>
    <xf numFmtId="0" fontId="4" fillId="5" borderId="0" xfId="0" applyFont="1" applyFill="1" applyBorder="1" applyAlignment="1" applyProtection="1">
      <alignment horizontal="center" vertical="top" wrapText="1"/>
    </xf>
    <xf numFmtId="0" fontId="0" fillId="17" borderId="11" xfId="0" applyFill="1" applyBorder="1" applyAlignment="1" applyProtection="1">
      <alignment horizontal="left" vertical="center" wrapText="1"/>
    </xf>
    <xf numFmtId="0" fontId="3" fillId="17" borderId="12" xfId="0" applyFont="1" applyFill="1" applyBorder="1" applyAlignment="1" applyProtection="1">
      <alignment horizontal="center" vertical="center"/>
    </xf>
    <xf numFmtId="0" fontId="0" fillId="17" borderId="23" xfId="0" applyFill="1" applyBorder="1" applyAlignment="1" applyProtection="1">
      <alignment horizontal="left" vertical="center" wrapText="1"/>
    </xf>
    <xf numFmtId="0" fontId="3" fillId="17" borderId="138" xfId="0" applyFont="1" applyFill="1" applyBorder="1" applyAlignment="1" applyProtection="1">
      <alignment horizontal="center" vertical="center"/>
    </xf>
    <xf numFmtId="0" fontId="3" fillId="5" borderId="0" xfId="0" applyFont="1" applyFill="1" applyAlignment="1" applyProtection="1">
      <alignment horizontal="center"/>
    </xf>
    <xf numFmtId="0" fontId="5" fillId="17" borderId="27" xfId="0" applyFont="1" applyFill="1" applyBorder="1" applyAlignment="1" applyProtection="1">
      <alignment horizontal="center" vertical="center" wrapText="1"/>
    </xf>
    <xf numFmtId="0" fontId="5" fillId="17" borderId="28" xfId="0" applyFont="1" applyFill="1" applyBorder="1" applyAlignment="1" applyProtection="1">
      <alignment horizontal="center" vertical="center" wrapText="1"/>
    </xf>
    <xf numFmtId="0" fontId="4" fillId="0" borderId="14" xfId="0" applyFont="1" applyBorder="1" applyAlignment="1" applyProtection="1">
      <alignment horizontal="left" vertical="center" wrapText="1"/>
    </xf>
    <xf numFmtId="165" fontId="4" fillId="0" borderId="10" xfId="2" applyNumberFormat="1" applyFont="1" applyFill="1" applyBorder="1" applyAlignment="1" applyProtection="1">
      <alignment horizontal="center" vertical="center"/>
    </xf>
    <xf numFmtId="165" fontId="4" fillId="0" borderId="26" xfId="2" applyNumberFormat="1" applyFont="1" applyFill="1" applyBorder="1" applyAlignment="1" applyProtection="1">
      <alignment horizontal="center" vertical="center"/>
    </xf>
    <xf numFmtId="0" fontId="0" fillId="5" borderId="0" xfId="0" applyFill="1" applyBorder="1" applyAlignment="1" applyProtection="1">
      <alignment horizontal="left"/>
    </xf>
    <xf numFmtId="165" fontId="0" fillId="5" borderId="0" xfId="2" applyNumberFormat="1" applyFont="1" applyFill="1" applyBorder="1" applyAlignment="1" applyProtection="1">
      <alignment vertical="center"/>
    </xf>
    <xf numFmtId="0" fontId="20" fillId="5" borderId="0" xfId="0" applyFont="1" applyFill="1" applyBorder="1" applyAlignment="1" applyProtection="1">
      <alignment vertical="top" wrapText="1"/>
    </xf>
    <xf numFmtId="0" fontId="22" fillId="5" borderId="0" xfId="0" applyFont="1" applyFill="1" applyBorder="1" applyAlignment="1" applyProtection="1">
      <alignment horizontal="center" vertical="top" wrapText="1"/>
    </xf>
    <xf numFmtId="0" fontId="4" fillId="7" borderId="2" xfId="0" applyFont="1" applyFill="1" applyBorder="1" applyAlignment="1" applyProtection="1">
      <alignment vertical="top" wrapText="1"/>
    </xf>
    <xf numFmtId="0" fontId="4" fillId="7" borderId="51" xfId="0" applyFont="1" applyFill="1" applyBorder="1" applyAlignment="1" applyProtection="1">
      <alignment horizontal="center" vertical="center" wrapText="1"/>
    </xf>
    <xf numFmtId="0" fontId="0" fillId="0" borderId="38" xfId="0" applyFill="1" applyBorder="1" applyAlignment="1" applyProtection="1">
      <alignment horizontal="left"/>
    </xf>
    <xf numFmtId="165" fontId="0" fillId="0" borderId="41" xfId="2" applyNumberFormat="1" applyFont="1" applyFill="1" applyBorder="1" applyAlignment="1" applyProtection="1">
      <alignment vertical="center"/>
    </xf>
    <xf numFmtId="0" fontId="0" fillId="0" borderId="14" xfId="0" applyBorder="1" applyProtection="1"/>
    <xf numFmtId="165" fontId="0" fillId="0" borderId="5" xfId="2" applyNumberFormat="1" applyFont="1" applyFill="1" applyBorder="1" applyAlignment="1" applyProtection="1">
      <alignment horizontal="center" vertical="center"/>
    </xf>
    <xf numFmtId="0" fontId="0" fillId="0" borderId="14" xfId="0" applyFill="1" applyBorder="1" applyAlignment="1" applyProtection="1">
      <alignment horizontal="left"/>
    </xf>
    <xf numFmtId="165" fontId="0" fillId="0" borderId="26" xfId="2" applyNumberFormat="1" applyFont="1" applyFill="1" applyBorder="1" applyAlignment="1" applyProtection="1">
      <alignment horizontal="center" vertical="center"/>
    </xf>
    <xf numFmtId="6" fontId="0" fillId="0" borderId="26" xfId="0" applyNumberFormat="1" applyBorder="1" applyAlignment="1" applyProtection="1">
      <alignment horizontal="right"/>
    </xf>
    <xf numFmtId="0" fontId="3" fillId="17" borderId="28" xfId="0" applyFont="1" applyFill="1" applyBorder="1" applyAlignment="1" applyProtection="1">
      <alignment horizontal="center" vertical="center" wrapText="1"/>
    </xf>
    <xf numFmtId="165" fontId="5" fillId="17" borderId="29" xfId="0" applyNumberFormat="1" applyFont="1" applyFill="1" applyBorder="1" applyAlignment="1" applyProtection="1">
      <alignment horizontal="center" vertical="center" wrapText="1"/>
    </xf>
    <xf numFmtId="0" fontId="19" fillId="5" borderId="0" xfId="0" applyFont="1" applyFill="1" applyBorder="1" applyAlignment="1" applyProtection="1">
      <alignment horizontal="left" wrapText="1"/>
    </xf>
    <xf numFmtId="0" fontId="20" fillId="5" borderId="0" xfId="0" applyFont="1" applyFill="1" applyBorder="1" applyAlignment="1" applyProtection="1">
      <alignment horizontal="left" vertical="top" wrapText="1"/>
    </xf>
    <xf numFmtId="0" fontId="0" fillId="7" borderId="51" xfId="0" applyFont="1" applyFill="1" applyBorder="1" applyAlignment="1" applyProtection="1">
      <alignment horizontal="left" vertical="top" wrapText="1"/>
    </xf>
    <xf numFmtId="165" fontId="5" fillId="7" borderId="52" xfId="0" applyNumberFormat="1" applyFont="1" applyFill="1" applyBorder="1" applyAlignment="1" applyProtection="1">
      <alignment horizontal="right" vertical="center" wrapText="1"/>
    </xf>
    <xf numFmtId="0" fontId="48" fillId="5" borderId="0" xfId="0" applyFont="1" applyFill="1" applyProtection="1"/>
    <xf numFmtId="3" fontId="0" fillId="0" borderId="44" xfId="0" applyNumberFormat="1" applyFill="1" applyBorder="1" applyAlignment="1" applyProtection="1">
      <alignment horizontal="right"/>
    </xf>
    <xf numFmtId="165" fontId="0" fillId="0" borderId="5" xfId="2" applyNumberFormat="1" applyFont="1" applyBorder="1" applyProtection="1"/>
    <xf numFmtId="9" fontId="30" fillId="0" borderId="22" xfId="4" applyFont="1" applyBorder="1" applyProtection="1"/>
    <xf numFmtId="165" fontId="0" fillId="0" borderId="5" xfId="2" applyNumberFormat="1" applyFont="1" applyFill="1" applyBorder="1" applyAlignment="1" applyProtection="1">
      <alignment vertical="center"/>
    </xf>
    <xf numFmtId="41" fontId="30" fillId="0" borderId="22" xfId="3" applyFont="1" applyBorder="1" applyProtection="1"/>
    <xf numFmtId="165" fontId="0" fillId="0" borderId="6" xfId="2" applyNumberFormat="1" applyFont="1" applyFill="1" applyBorder="1" applyAlignment="1" applyProtection="1">
      <alignment vertical="center"/>
    </xf>
    <xf numFmtId="0" fontId="31" fillId="10" borderId="70" xfId="0" applyFont="1" applyFill="1" applyBorder="1" applyAlignment="1" applyProtection="1">
      <alignment horizontal="left" vertical="center" wrapText="1"/>
    </xf>
    <xf numFmtId="0" fontId="10" fillId="0" borderId="4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165" fontId="10" fillId="0" borderId="25" xfId="0" applyNumberFormat="1" applyFont="1" applyFill="1" applyBorder="1" applyAlignment="1" applyProtection="1">
      <alignment horizontal="center" vertical="center" wrapText="1"/>
    </xf>
    <xf numFmtId="0" fontId="10" fillId="5" borderId="0" xfId="0" applyFont="1" applyFill="1" applyBorder="1" applyAlignment="1" applyProtection="1">
      <alignment vertical="top" wrapText="1"/>
    </xf>
    <xf numFmtId="165" fontId="17" fillId="17" borderId="1" xfId="2" applyNumberFormat="1" applyFont="1" applyFill="1" applyBorder="1" applyAlignment="1" applyProtection="1">
      <alignment horizontal="center" vertical="center"/>
    </xf>
    <xf numFmtId="165" fontId="3" fillId="17" borderId="1" xfId="2" applyNumberFormat="1" applyFont="1" applyFill="1" applyBorder="1" applyAlignment="1" applyProtection="1">
      <alignment horizontal="center" vertical="center"/>
    </xf>
    <xf numFmtId="0" fontId="2" fillId="16" borderId="9" xfId="0" applyFont="1" applyFill="1" applyBorder="1" applyProtection="1"/>
    <xf numFmtId="165" fontId="0" fillId="0" borderId="10" xfId="0" applyNumberFormat="1" applyBorder="1" applyAlignment="1" applyProtection="1">
      <alignment horizontal="center" vertical="center"/>
    </xf>
    <xf numFmtId="165" fontId="3" fillId="5" borderId="41" xfId="2" applyNumberFormat="1" applyFont="1" applyFill="1" applyBorder="1" applyAlignment="1" applyProtection="1">
      <alignment horizontal="center" vertical="center"/>
    </xf>
    <xf numFmtId="165" fontId="0" fillId="5" borderId="24" xfId="2" applyNumberFormat="1" applyFont="1" applyFill="1" applyBorder="1" applyAlignment="1" applyProtection="1">
      <alignment horizontal="center" vertical="center"/>
    </xf>
    <xf numFmtId="165" fontId="0" fillId="5" borderId="0" xfId="2" applyNumberFormat="1" applyFont="1" applyFill="1" applyBorder="1" applyProtection="1"/>
    <xf numFmtId="165" fontId="0" fillId="17" borderId="139" xfId="2" applyNumberFormat="1" applyFont="1" applyFill="1" applyBorder="1" applyAlignment="1" applyProtection="1">
      <alignment horizontal="center" vertical="center"/>
    </xf>
    <xf numFmtId="165" fontId="0" fillId="0" borderId="15" xfId="2" applyNumberFormat="1" applyFont="1" applyBorder="1" applyAlignment="1" applyProtection="1">
      <alignment vertical="center"/>
    </xf>
    <xf numFmtId="165" fontId="3" fillId="17" borderId="19" xfId="2" applyNumberFormat="1" applyFont="1" applyFill="1" applyBorder="1" applyAlignment="1" applyProtection="1">
      <alignment vertical="center"/>
    </xf>
    <xf numFmtId="165" fontId="3" fillId="17" borderId="1" xfId="2" applyNumberFormat="1" applyFont="1" applyFill="1" applyBorder="1" applyAlignment="1" applyProtection="1">
      <alignment vertical="center"/>
    </xf>
    <xf numFmtId="165" fontId="3" fillId="17" borderId="34" xfId="2" applyNumberFormat="1" applyFont="1" applyFill="1" applyBorder="1" applyAlignment="1" applyProtection="1">
      <alignment vertical="center"/>
    </xf>
    <xf numFmtId="165" fontId="0" fillId="0" borderId="10" xfId="2" applyNumberFormat="1" applyFont="1" applyBorder="1" applyAlignment="1" applyProtection="1">
      <alignment vertical="center"/>
    </xf>
    <xf numFmtId="0" fontId="10" fillId="0" borderId="21" xfId="0" applyFont="1" applyFill="1" applyBorder="1" applyAlignment="1" applyProtection="1">
      <alignment vertical="center" wrapText="1"/>
    </xf>
    <xf numFmtId="0" fontId="10" fillId="0" borderId="22" xfId="0" applyFont="1" applyFill="1" applyBorder="1" applyAlignment="1" applyProtection="1">
      <alignment vertical="center" wrapText="1"/>
    </xf>
    <xf numFmtId="165" fontId="0" fillId="5" borderId="5" xfId="2" applyNumberFormat="1" applyFont="1" applyFill="1" applyBorder="1" applyAlignment="1" applyProtection="1">
      <alignment vertical="center"/>
    </xf>
    <xf numFmtId="165" fontId="3" fillId="17" borderId="17" xfId="2" applyNumberFormat="1" applyFont="1" applyFill="1" applyBorder="1" applyAlignment="1" applyProtection="1">
      <alignment vertical="center"/>
    </xf>
    <xf numFmtId="0" fontId="2" fillId="10" borderId="2" xfId="0" applyFont="1" applyFill="1" applyBorder="1" applyAlignment="1" applyProtection="1">
      <alignment vertical="top" wrapText="1"/>
    </xf>
    <xf numFmtId="0" fontId="31" fillId="10" borderId="51" xfId="0" applyFont="1" applyFill="1" applyBorder="1" applyAlignment="1" applyProtection="1">
      <alignment horizontal="left" vertical="center" wrapText="1"/>
    </xf>
    <xf numFmtId="0" fontId="0" fillId="5" borderId="0" xfId="0" applyFont="1" applyFill="1" applyProtection="1"/>
    <xf numFmtId="0" fontId="3" fillId="5" borderId="0" xfId="0" applyFont="1" applyFill="1" applyBorder="1" applyAlignment="1" applyProtection="1">
      <alignment horizontal="center"/>
    </xf>
    <xf numFmtId="0" fontId="24" fillId="16" borderId="53" xfId="0" applyFont="1" applyFill="1" applyBorder="1" applyAlignment="1" applyProtection="1">
      <alignment vertical="top" wrapText="1"/>
    </xf>
    <xf numFmtId="0" fontId="0" fillId="16" borderId="57" xfId="0" applyFont="1" applyFill="1" applyBorder="1" applyAlignment="1" applyProtection="1">
      <alignment horizontal="left" wrapText="1"/>
    </xf>
    <xf numFmtId="0" fontId="4" fillId="0" borderId="54" xfId="0" applyFont="1" applyFill="1" applyBorder="1" applyAlignment="1" applyProtection="1">
      <alignment horizontal="left" vertical="top" wrapText="1"/>
    </xf>
    <xf numFmtId="0" fontId="4" fillId="0" borderId="46" xfId="0" applyFont="1" applyFill="1" applyBorder="1" applyAlignment="1" applyProtection="1">
      <alignment horizontal="center" vertical="center" wrapText="1"/>
    </xf>
    <xf numFmtId="0" fontId="4" fillId="20" borderId="54" xfId="0" applyFont="1" applyFill="1" applyBorder="1" applyAlignment="1" applyProtection="1">
      <alignment horizontal="left" vertical="top" wrapText="1"/>
    </xf>
    <xf numFmtId="0" fontId="4" fillId="0" borderId="55" xfId="0" applyFont="1" applyFill="1" applyBorder="1" applyAlignment="1" applyProtection="1">
      <alignment horizontal="left" vertical="top" wrapText="1"/>
    </xf>
    <xf numFmtId="0" fontId="4" fillId="0" borderId="48" xfId="0" applyFont="1" applyFill="1" applyBorder="1" applyAlignment="1" applyProtection="1">
      <alignment horizontal="center" vertical="center" wrapText="1"/>
    </xf>
    <xf numFmtId="0" fontId="5" fillId="17" borderId="18" xfId="0" applyFont="1" applyFill="1" applyBorder="1" applyAlignment="1" applyProtection="1">
      <alignment horizontal="left" vertical="top" wrapText="1"/>
    </xf>
    <xf numFmtId="0" fontId="4" fillId="17" borderId="18" xfId="0" applyFont="1" applyFill="1" applyBorder="1" applyAlignment="1" applyProtection="1">
      <alignment horizontal="center" vertical="center" wrapText="1"/>
    </xf>
    <xf numFmtId="0" fontId="4" fillId="0" borderId="11" xfId="0" applyFont="1" applyFill="1" applyBorder="1" applyAlignment="1" applyProtection="1">
      <alignment vertical="top" wrapText="1"/>
    </xf>
    <xf numFmtId="0" fontId="4" fillId="0" borderId="14" xfId="0" applyFont="1" applyFill="1" applyBorder="1" applyAlignment="1" applyProtection="1">
      <alignment vertical="top" wrapText="1"/>
    </xf>
    <xf numFmtId="0" fontId="4" fillId="0" borderId="46" xfId="0" applyFont="1" applyFill="1" applyBorder="1" applyAlignment="1" applyProtection="1">
      <alignment vertical="top" wrapText="1"/>
    </xf>
    <xf numFmtId="0" fontId="4" fillId="0" borderId="46" xfId="0" applyFont="1" applyFill="1" applyBorder="1" applyAlignment="1" applyProtection="1">
      <alignment horizontal="center" vertical="top" wrapText="1"/>
    </xf>
    <xf numFmtId="0" fontId="5" fillId="17" borderId="56" xfId="0" applyFont="1" applyFill="1" applyBorder="1" applyAlignment="1" applyProtection="1">
      <alignment horizontal="left" vertical="top" wrapText="1"/>
    </xf>
    <xf numFmtId="0" fontId="4" fillId="17" borderId="51" xfId="0" applyFont="1" applyFill="1" applyBorder="1" applyAlignment="1" applyProtection="1">
      <alignment horizontal="center" vertical="center" wrapText="1"/>
    </xf>
    <xf numFmtId="0" fontId="6" fillId="0" borderId="11" xfId="0" applyFont="1" applyFill="1" applyBorder="1" applyAlignment="1" applyProtection="1">
      <alignment vertical="top" wrapText="1"/>
    </xf>
    <xf numFmtId="0" fontId="0" fillId="5" borderId="0" xfId="0" applyFont="1" applyFill="1" applyBorder="1" applyAlignment="1" applyProtection="1">
      <alignment horizontal="left" vertical="top"/>
    </xf>
    <xf numFmtId="0" fontId="0" fillId="16" borderId="58" xfId="0" applyFont="1" applyFill="1" applyBorder="1" applyAlignment="1" applyProtection="1">
      <alignment wrapText="1"/>
    </xf>
    <xf numFmtId="165" fontId="4" fillId="0" borderId="59" xfId="0" applyNumberFormat="1" applyFont="1" applyFill="1" applyBorder="1" applyAlignment="1" applyProtection="1">
      <alignment vertical="top" wrapText="1"/>
    </xf>
    <xf numFmtId="165" fontId="5" fillId="0" borderId="21" xfId="0" applyNumberFormat="1" applyFont="1" applyFill="1" applyBorder="1" applyAlignment="1" applyProtection="1">
      <alignment vertical="center" wrapText="1"/>
    </xf>
    <xf numFmtId="0" fontId="5" fillId="17" borderId="14" xfId="0" applyFont="1" applyFill="1" applyBorder="1" applyAlignment="1" applyProtection="1">
      <alignment vertical="top" wrapText="1"/>
    </xf>
    <xf numFmtId="0" fontId="4" fillId="17" borderId="5" xfId="0" applyFont="1" applyFill="1" applyBorder="1" applyAlignment="1" applyProtection="1">
      <alignment horizontal="left" vertical="center" wrapText="1"/>
    </xf>
    <xf numFmtId="0" fontId="0" fillId="0" borderId="23" xfId="0" applyFont="1" applyFill="1" applyBorder="1" applyAlignment="1" applyProtection="1">
      <alignment vertical="top" wrapText="1"/>
    </xf>
    <xf numFmtId="165" fontId="4" fillId="17" borderId="5" xfId="2" applyNumberFormat="1" applyFont="1" applyFill="1" applyBorder="1" applyAlignment="1" applyProtection="1">
      <alignment horizontal="center" vertical="center" wrapText="1"/>
    </xf>
    <xf numFmtId="42" fontId="5" fillId="17" borderId="22" xfId="5" applyFont="1" applyFill="1" applyBorder="1" applyAlignment="1" applyProtection="1">
      <alignment vertical="center" wrapText="1"/>
    </xf>
    <xf numFmtId="0" fontId="17" fillId="17" borderId="22" xfId="0" applyFont="1" applyFill="1" applyBorder="1" applyAlignment="1" applyProtection="1">
      <alignment vertical="top" wrapText="1"/>
    </xf>
    <xf numFmtId="44" fontId="4" fillId="0" borderId="22" xfId="2" applyFont="1" applyFill="1" applyBorder="1" applyAlignment="1" applyProtection="1">
      <alignment vertical="center" wrapText="1"/>
    </xf>
    <xf numFmtId="44" fontId="4" fillId="0" borderId="25" xfId="2" applyFont="1" applyFill="1" applyBorder="1" applyAlignment="1" applyProtection="1">
      <alignment vertical="center" wrapText="1"/>
    </xf>
    <xf numFmtId="0" fontId="0" fillId="5" borderId="0" xfId="0" applyFont="1" applyFill="1" applyBorder="1" applyAlignment="1" applyProtection="1">
      <alignment vertical="top" wrapText="1"/>
    </xf>
    <xf numFmtId="0" fontId="4" fillId="5" borderId="0" xfId="0" applyFont="1" applyFill="1" applyBorder="1" applyAlignment="1" applyProtection="1">
      <alignment horizontal="center" vertical="center" wrapText="1"/>
    </xf>
    <xf numFmtId="0" fontId="5" fillId="4" borderId="11" xfId="0" applyFont="1" applyFill="1" applyBorder="1" applyAlignment="1" applyProtection="1">
      <alignment vertical="top" wrapText="1"/>
    </xf>
    <xf numFmtId="0" fontId="4" fillId="4" borderId="12" xfId="0" applyFont="1" applyFill="1" applyBorder="1" applyAlignment="1" applyProtection="1">
      <alignment horizontal="center" vertical="center" wrapText="1"/>
    </xf>
    <xf numFmtId="0" fontId="0" fillId="4" borderId="23" xfId="0" applyFont="1" applyFill="1" applyBorder="1" applyAlignment="1" applyProtection="1">
      <alignment vertical="top" wrapText="1"/>
    </xf>
    <xf numFmtId="0" fontId="4" fillId="4" borderId="138" xfId="0" applyFont="1" applyFill="1" applyBorder="1" applyAlignment="1" applyProtection="1">
      <alignment horizontal="center" vertical="center" wrapText="1"/>
    </xf>
    <xf numFmtId="0" fontId="4" fillId="5" borderId="0" xfId="0" applyFont="1" applyFill="1" applyBorder="1" applyAlignment="1" applyProtection="1">
      <alignment horizontal="left" vertical="center" wrapText="1"/>
    </xf>
    <xf numFmtId="0" fontId="4" fillId="4" borderId="20" xfId="0" applyFont="1" applyFill="1" applyBorder="1" applyAlignment="1" applyProtection="1">
      <alignment horizontal="center" vertical="center" wrapText="1"/>
    </xf>
    <xf numFmtId="0" fontId="5" fillId="4" borderId="66" xfId="0" applyFont="1" applyFill="1" applyBorder="1" applyAlignment="1" applyProtection="1">
      <alignment vertical="center" wrapText="1"/>
    </xf>
    <xf numFmtId="0" fontId="4" fillId="4" borderId="41" xfId="0" applyFont="1" applyFill="1" applyBorder="1" applyAlignment="1" applyProtection="1">
      <alignment horizontal="center" vertical="center" wrapText="1"/>
    </xf>
    <xf numFmtId="0" fontId="5" fillId="6" borderId="23" xfId="0" applyFont="1" applyFill="1" applyBorder="1" applyAlignment="1" applyProtection="1">
      <alignment vertical="top" wrapText="1"/>
    </xf>
    <xf numFmtId="0" fontId="4" fillId="6" borderId="24" xfId="0" applyFont="1" applyFill="1" applyBorder="1" applyAlignment="1" applyProtection="1">
      <alignment horizontal="center" vertical="center" wrapText="1"/>
    </xf>
    <xf numFmtId="0" fontId="24" fillId="16" borderId="2" xfId="0" applyFont="1" applyFill="1" applyBorder="1" applyAlignment="1" applyProtection="1">
      <alignment vertical="top" wrapText="1"/>
    </xf>
    <xf numFmtId="0" fontId="4" fillId="0" borderId="49" xfId="0" applyFont="1" applyFill="1" applyBorder="1" applyAlignment="1" applyProtection="1">
      <alignment horizontal="left" vertical="center" wrapText="1"/>
    </xf>
    <xf numFmtId="0" fontId="4" fillId="0" borderId="49" xfId="0" applyFont="1" applyFill="1" applyBorder="1" applyAlignment="1" applyProtection="1">
      <alignment horizontal="center" vertical="center" wrapText="1"/>
    </xf>
    <xf numFmtId="0" fontId="4" fillId="0" borderId="46" xfId="0" applyFont="1" applyFill="1" applyBorder="1" applyAlignment="1" applyProtection="1">
      <alignment horizontal="left" vertical="top" wrapText="1"/>
    </xf>
    <xf numFmtId="0" fontId="4" fillId="0" borderId="46" xfId="0" applyFont="1" applyFill="1" applyBorder="1" applyAlignment="1" applyProtection="1">
      <alignment horizontal="left" wrapText="1"/>
    </xf>
    <xf numFmtId="0" fontId="4" fillId="17" borderId="46" xfId="0" applyFont="1" applyFill="1" applyBorder="1" applyAlignment="1" applyProtection="1">
      <alignment horizontal="left" vertical="top" wrapText="1"/>
    </xf>
    <xf numFmtId="0" fontId="4" fillId="17" borderId="46" xfId="0" applyFont="1" applyFill="1" applyBorder="1" applyAlignment="1" applyProtection="1">
      <alignment horizontal="center" vertical="top" wrapText="1"/>
    </xf>
    <xf numFmtId="0" fontId="5" fillId="17" borderId="2" xfId="0" applyFont="1" applyFill="1" applyBorder="1" applyAlignment="1" applyProtection="1">
      <alignment horizontal="left" vertical="top" wrapText="1"/>
    </xf>
    <xf numFmtId="0" fontId="4" fillId="17" borderId="2" xfId="0" applyFont="1" applyFill="1" applyBorder="1" applyAlignment="1" applyProtection="1">
      <alignment horizontal="center" vertical="top" wrapText="1"/>
    </xf>
    <xf numFmtId="0" fontId="5" fillId="5" borderId="0" xfId="0" applyFont="1" applyFill="1" applyBorder="1" applyAlignment="1" applyProtection="1">
      <alignment horizontal="left" vertical="top" wrapText="1"/>
    </xf>
    <xf numFmtId="0" fontId="5" fillId="4" borderId="14" xfId="0" applyFont="1" applyFill="1" applyBorder="1" applyAlignment="1" applyProtection="1">
      <alignment vertical="top" wrapText="1"/>
    </xf>
    <xf numFmtId="0" fontId="4" fillId="4" borderId="5" xfId="0" applyFont="1" applyFill="1" applyBorder="1" applyAlignment="1" applyProtection="1">
      <alignment horizontal="left" vertical="center" wrapText="1"/>
    </xf>
    <xf numFmtId="0" fontId="4" fillId="0" borderId="5" xfId="0" applyFont="1" applyFill="1" applyBorder="1" applyAlignment="1" applyProtection="1">
      <alignment horizontal="center" vertical="top" wrapText="1"/>
    </xf>
    <xf numFmtId="0" fontId="4" fillId="0" borderId="24" xfId="0" applyFont="1" applyFill="1" applyBorder="1" applyAlignment="1" applyProtection="1">
      <alignment horizontal="center" vertical="top" wrapText="1"/>
    </xf>
    <xf numFmtId="0" fontId="0" fillId="4" borderId="11" xfId="0" applyFont="1" applyFill="1" applyBorder="1" applyAlignment="1" applyProtection="1">
      <alignment vertical="top" wrapText="1"/>
    </xf>
    <xf numFmtId="0" fontId="4" fillId="4" borderId="20" xfId="0" applyFont="1" applyFill="1" applyBorder="1" applyAlignment="1" applyProtection="1">
      <alignment horizontal="center" vertical="top" wrapText="1"/>
    </xf>
    <xf numFmtId="0" fontId="4" fillId="4" borderId="24" xfId="0" applyFont="1" applyFill="1" applyBorder="1" applyAlignment="1" applyProtection="1">
      <alignment horizontal="center" vertical="center" wrapText="1"/>
    </xf>
    <xf numFmtId="0" fontId="5" fillId="4" borderId="2" xfId="0" applyFont="1" applyFill="1" applyBorder="1" applyAlignment="1" applyProtection="1">
      <alignment vertical="center" wrapText="1"/>
    </xf>
    <xf numFmtId="0" fontId="4" fillId="4" borderId="28"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5" fillId="17" borderId="68" xfId="0" applyFont="1" applyFill="1" applyBorder="1" applyAlignment="1" applyProtection="1">
      <alignment vertical="center" wrapText="1"/>
    </xf>
    <xf numFmtId="0" fontId="4" fillId="17" borderId="69" xfId="0" applyFont="1" applyFill="1" applyBorder="1" applyAlignment="1" applyProtection="1">
      <alignment horizontal="center" vertical="center" wrapText="1"/>
    </xf>
    <xf numFmtId="0" fontId="5" fillId="5" borderId="0" xfId="0" applyFont="1" applyFill="1" applyBorder="1" applyAlignment="1" applyProtection="1">
      <alignment vertical="top" wrapText="1"/>
    </xf>
    <xf numFmtId="0" fontId="5" fillId="12" borderId="53" xfId="0" applyFont="1" applyFill="1" applyBorder="1" applyAlignment="1" applyProtection="1">
      <alignment vertical="top" wrapText="1"/>
    </xf>
    <xf numFmtId="0" fontId="4" fillId="12" borderId="65" xfId="0" applyFont="1" applyFill="1" applyBorder="1" applyAlignment="1" applyProtection="1">
      <alignment horizontal="center" vertical="center" wrapText="1"/>
    </xf>
    <xf numFmtId="0" fontId="4" fillId="0" borderId="66" xfId="0" applyFont="1" applyFill="1" applyBorder="1" applyAlignment="1" applyProtection="1">
      <alignment vertical="center" wrapText="1"/>
    </xf>
    <xf numFmtId="0" fontId="0" fillId="0" borderId="45" xfId="0" applyFont="1" applyFill="1" applyBorder="1" applyAlignment="1" applyProtection="1">
      <alignment horizontal="left" vertical="center" wrapText="1"/>
    </xf>
    <xf numFmtId="0" fontId="0" fillId="0" borderId="14" xfId="0" applyBorder="1" applyAlignment="1" applyProtection="1">
      <alignment vertical="center"/>
    </xf>
    <xf numFmtId="0" fontId="0" fillId="0" borderId="14" xfId="0" applyFill="1" applyBorder="1" applyAlignment="1" applyProtection="1">
      <alignment horizontal="left" vertical="center"/>
    </xf>
    <xf numFmtId="0" fontId="4" fillId="0" borderId="68" xfId="0" applyFont="1" applyFill="1" applyBorder="1" applyAlignment="1" applyProtection="1">
      <alignment vertical="center" wrapText="1"/>
    </xf>
    <xf numFmtId="0" fontId="2" fillId="10" borderId="2" xfId="0" applyFont="1" applyFill="1" applyBorder="1" applyAlignment="1" applyProtection="1">
      <alignment vertical="center" wrapText="1"/>
    </xf>
    <xf numFmtId="0" fontId="0" fillId="0" borderId="0" xfId="0" applyFont="1" applyProtection="1"/>
    <xf numFmtId="165" fontId="17" fillId="4" borderId="1" xfId="2" applyNumberFormat="1" applyFont="1" applyFill="1" applyBorder="1" applyAlignment="1" applyProtection="1">
      <alignment horizontal="left" vertical="center" wrapText="1"/>
    </xf>
    <xf numFmtId="0" fontId="0" fillId="5" borderId="0" xfId="0" applyFont="1" applyFill="1" applyBorder="1" applyAlignment="1" applyProtection="1">
      <alignment horizontal="left" wrapText="1"/>
    </xf>
    <xf numFmtId="0" fontId="0" fillId="12" borderId="65" xfId="0" applyFont="1" applyFill="1" applyBorder="1" applyAlignment="1" applyProtection="1">
      <alignment horizontal="left" vertical="top" wrapText="1"/>
    </xf>
    <xf numFmtId="165" fontId="0" fillId="0" borderId="5" xfId="2" applyNumberFormat="1" applyFont="1" applyBorder="1" applyAlignment="1" applyProtection="1">
      <alignment vertical="center"/>
    </xf>
    <xf numFmtId="0" fontId="0" fillId="0" borderId="69" xfId="0" applyFont="1" applyFill="1" applyBorder="1" applyAlignment="1" applyProtection="1">
      <alignment horizontal="left" vertical="center" wrapText="1"/>
    </xf>
    <xf numFmtId="165" fontId="4" fillId="0" borderId="22" xfId="2" applyNumberFormat="1" applyFont="1" applyFill="1" applyBorder="1" applyAlignment="1" applyProtection="1">
      <alignment horizontal="left" vertical="top" wrapText="1"/>
    </xf>
    <xf numFmtId="165" fontId="4" fillId="0" borderId="25" xfId="2" applyNumberFormat="1"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165" fontId="17" fillId="4" borderId="13" xfId="2" applyNumberFormat="1" applyFont="1" applyFill="1" applyBorder="1" applyAlignment="1" applyProtection="1">
      <alignment horizontal="left" vertical="center" wrapText="1"/>
    </xf>
    <xf numFmtId="165" fontId="5" fillId="4" borderId="1" xfId="2" applyNumberFormat="1" applyFont="1" applyFill="1" applyBorder="1" applyAlignment="1" applyProtection="1">
      <alignment horizontal="left" vertical="center" wrapText="1"/>
    </xf>
    <xf numFmtId="6" fontId="5" fillId="5" borderId="0" xfId="0" applyNumberFormat="1" applyFont="1" applyFill="1" applyBorder="1" applyAlignment="1" applyProtection="1">
      <alignment horizontal="right" vertical="center" wrapText="1"/>
    </xf>
    <xf numFmtId="165" fontId="5" fillId="12" borderId="1" xfId="2" applyNumberFormat="1" applyFont="1" applyFill="1" applyBorder="1" applyAlignment="1" applyProtection="1">
      <alignment horizontal="left" vertical="center" wrapText="1"/>
    </xf>
    <xf numFmtId="6" fontId="4" fillId="0" borderId="67" xfId="1" applyNumberFormat="1" applyFont="1" applyFill="1" applyBorder="1" applyAlignment="1" applyProtection="1">
      <alignment horizontal="right" vertical="top" wrapText="1"/>
    </xf>
    <xf numFmtId="9" fontId="0" fillId="0" borderId="22" xfId="4" applyFont="1" applyBorder="1" applyProtection="1"/>
    <xf numFmtId="41" fontId="0" fillId="0" borderId="22" xfId="3" applyFont="1" applyBorder="1" applyProtection="1"/>
    <xf numFmtId="43" fontId="0" fillId="0" borderId="63" xfId="3" applyNumberFormat="1" applyFont="1" applyBorder="1" applyProtection="1"/>
    <xf numFmtId="165" fontId="2" fillId="10" borderId="1" xfId="2" applyNumberFormat="1" applyFont="1" applyFill="1" applyBorder="1" applyAlignment="1" applyProtection="1">
      <alignment horizontal="left" vertical="center" wrapText="1"/>
    </xf>
    <xf numFmtId="43" fontId="0" fillId="5" borderId="0" xfId="1" applyFont="1" applyFill="1" applyProtection="1"/>
    <xf numFmtId="165" fontId="0" fillId="5" borderId="0" xfId="0" applyNumberFormat="1" applyFont="1" applyFill="1" applyProtection="1"/>
    <xf numFmtId="0" fontId="0" fillId="5" borderId="0" xfId="0" applyFont="1" applyFill="1" applyBorder="1" applyProtection="1"/>
    <xf numFmtId="165" fontId="5" fillId="8" borderId="6" xfId="2" applyNumberFormat="1" applyFont="1" applyFill="1" applyBorder="1" applyAlignment="1" applyProtection="1">
      <alignment horizontal="left" vertical="center" wrapText="1"/>
    </xf>
    <xf numFmtId="165" fontId="5" fillId="17" borderId="5" xfId="2" applyNumberFormat="1" applyFont="1" applyFill="1" applyBorder="1" applyAlignment="1" applyProtection="1">
      <alignment horizontal="left" vertical="center" wrapText="1"/>
    </xf>
    <xf numFmtId="0" fontId="17" fillId="4" borderId="22" xfId="0" applyFont="1" applyFill="1" applyBorder="1" applyAlignment="1" applyProtection="1">
      <alignment horizontal="left" vertical="top" wrapText="1"/>
    </xf>
    <xf numFmtId="0" fontId="0" fillId="17" borderId="1" xfId="0" applyFont="1" applyFill="1" applyBorder="1" applyAlignment="1" applyProtection="1">
      <alignment horizontal="left" vertical="center" wrapText="1"/>
    </xf>
    <xf numFmtId="165" fontId="4" fillId="0" borderId="5" xfId="2" applyNumberFormat="1" applyFont="1" applyFill="1" applyBorder="1" applyAlignment="1" applyProtection="1">
      <alignment horizontal="left" vertical="center" wrapText="1"/>
    </xf>
    <xf numFmtId="165" fontId="5" fillId="17" borderId="1" xfId="2" applyNumberFormat="1" applyFont="1" applyFill="1" applyBorder="1" applyAlignment="1" applyProtection="1">
      <alignment horizontal="left" vertical="center" wrapText="1"/>
    </xf>
    <xf numFmtId="165" fontId="4" fillId="0" borderId="61" xfId="0" applyNumberFormat="1" applyFont="1" applyFill="1" applyBorder="1" applyAlignment="1" applyProtection="1">
      <alignment horizontal="center" vertical="center" wrapText="1"/>
    </xf>
    <xf numFmtId="44" fontId="4" fillId="5" borderId="0" xfId="2" applyFont="1" applyFill="1" applyBorder="1" applyAlignment="1" applyProtection="1">
      <alignment vertical="top" wrapText="1"/>
    </xf>
    <xf numFmtId="165" fontId="0" fillId="5" borderId="0" xfId="0" applyNumberFormat="1" applyFill="1" applyProtection="1"/>
    <xf numFmtId="0" fontId="23" fillId="5" borderId="0" xfId="0" applyFont="1" applyFill="1" applyBorder="1" applyAlignment="1" applyProtection="1">
      <alignment vertical="top" wrapText="1"/>
    </xf>
    <xf numFmtId="6" fontId="5" fillId="4" borderId="21" xfId="0" applyNumberFormat="1" applyFont="1" applyFill="1" applyBorder="1" applyAlignment="1" applyProtection="1">
      <alignment vertical="top" wrapText="1"/>
    </xf>
    <xf numFmtId="6" fontId="5" fillId="6" borderId="25" xfId="0" applyNumberFormat="1" applyFont="1" applyFill="1" applyBorder="1" applyAlignment="1" applyProtection="1">
      <alignment vertical="top" wrapText="1"/>
    </xf>
    <xf numFmtId="0" fontId="0" fillId="16" borderId="4" xfId="0" applyFont="1" applyFill="1" applyBorder="1" applyAlignment="1" applyProtection="1">
      <alignment horizontal="left" wrapText="1"/>
    </xf>
    <xf numFmtId="165" fontId="17" fillId="0" borderId="5" xfId="2" applyNumberFormat="1" applyFont="1" applyFill="1" applyBorder="1" applyAlignment="1" applyProtection="1">
      <alignment horizontal="left" vertical="center" wrapText="1"/>
    </xf>
    <xf numFmtId="165" fontId="17" fillId="0" borderId="50" xfId="2" applyNumberFormat="1" applyFont="1" applyFill="1" applyBorder="1" applyAlignment="1" applyProtection="1">
      <alignment horizontal="center" vertical="center" wrapText="1"/>
    </xf>
    <xf numFmtId="165" fontId="0" fillId="5" borderId="0" xfId="2" applyNumberFormat="1" applyFont="1" applyFill="1" applyBorder="1" applyAlignment="1" applyProtection="1">
      <alignment horizontal="left" vertical="center" wrapText="1"/>
    </xf>
    <xf numFmtId="165" fontId="25" fillId="5" borderId="0" xfId="2" applyNumberFormat="1" applyFont="1" applyFill="1" applyBorder="1" applyAlignment="1" applyProtection="1">
      <alignment horizontal="center" vertical="top" shrinkToFit="1"/>
    </xf>
    <xf numFmtId="165" fontId="0" fillId="4" borderId="20" xfId="2" applyNumberFormat="1" applyFont="1" applyFill="1" applyBorder="1" applyAlignment="1" applyProtection="1">
      <alignment horizontal="left" wrapText="1"/>
    </xf>
    <xf numFmtId="165" fontId="0" fillId="6" borderId="24" xfId="2" applyNumberFormat="1" applyFont="1" applyFill="1" applyBorder="1" applyAlignment="1" applyProtection="1">
      <alignment horizontal="left" wrapText="1"/>
    </xf>
    <xf numFmtId="165" fontId="0" fillId="17" borderId="61" xfId="2" applyNumberFormat="1" applyFont="1" applyFill="1" applyBorder="1" applyAlignment="1" applyProtection="1">
      <alignment horizontal="left" wrapText="1"/>
    </xf>
    <xf numFmtId="0" fontId="0" fillId="17" borderId="51" xfId="0" applyFont="1" applyFill="1" applyBorder="1" applyAlignment="1" applyProtection="1">
      <alignment horizontal="left" vertical="center" wrapText="1"/>
    </xf>
    <xf numFmtId="165" fontId="4" fillId="3" borderId="20" xfId="2" applyNumberFormat="1" applyFont="1" applyFill="1" applyBorder="1" applyAlignment="1" applyProtection="1">
      <alignment horizontal="center" vertical="top" wrapText="1"/>
      <protection locked="0"/>
    </xf>
    <xf numFmtId="0" fontId="4" fillId="0" borderId="20" xfId="0" applyFont="1" applyFill="1" applyBorder="1" applyAlignment="1" applyProtection="1">
      <alignment horizontal="center" vertical="top" wrapText="1"/>
    </xf>
    <xf numFmtId="0" fontId="3" fillId="9" borderId="31" xfId="0" applyFont="1" applyFill="1" applyBorder="1" applyProtection="1"/>
    <xf numFmtId="0" fontId="3" fillId="9" borderId="39" xfId="0" applyFont="1" applyFill="1" applyBorder="1" applyAlignment="1" applyProtection="1">
      <alignment horizontal="center"/>
    </xf>
    <xf numFmtId="0" fontId="0" fillId="0" borderId="11" xfId="0" applyBorder="1" applyProtection="1"/>
    <xf numFmtId="0" fontId="0" fillId="0" borderId="20" xfId="0" applyBorder="1" applyProtection="1"/>
    <xf numFmtId="0" fontId="0" fillId="0" borderId="38" xfId="0" applyBorder="1" applyProtection="1"/>
    <xf numFmtId="0" fontId="0" fillId="0" borderId="41" xfId="0" applyBorder="1" applyProtection="1"/>
    <xf numFmtId="0" fontId="0" fillId="0" borderId="16" xfId="0" applyBorder="1" applyProtection="1"/>
    <xf numFmtId="0" fontId="0" fillId="0" borderId="20" xfId="0" applyBorder="1" applyAlignment="1" applyProtection="1">
      <alignment horizontal="center"/>
    </xf>
    <xf numFmtId="0" fontId="3" fillId="17" borderId="27" xfId="0" applyFont="1" applyFill="1" applyBorder="1" applyProtection="1"/>
    <xf numFmtId="0" fontId="3" fillId="17" borderId="28" xfId="0" applyFont="1" applyFill="1" applyBorder="1" applyProtection="1"/>
    <xf numFmtId="0" fontId="0" fillId="17" borderId="28" xfId="0"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3" fillId="17" borderId="27" xfId="0" applyFont="1" applyFill="1" applyBorder="1" applyAlignment="1" applyProtection="1">
      <alignment vertical="center"/>
    </xf>
    <xf numFmtId="0" fontId="0" fillId="17" borderId="28" xfId="0" applyFill="1" applyBorder="1" applyAlignment="1" applyProtection="1">
      <alignment horizontal="center" wrapText="1"/>
    </xf>
    <xf numFmtId="165" fontId="4" fillId="0" borderId="59" xfId="2" applyNumberFormat="1" applyFont="1" applyFill="1" applyBorder="1" applyAlignment="1" applyProtection="1">
      <alignment vertical="top" wrapText="1"/>
    </xf>
    <xf numFmtId="165" fontId="5" fillId="17" borderId="19" xfId="2" applyNumberFormat="1" applyFont="1" applyFill="1" applyBorder="1" applyAlignment="1" applyProtection="1">
      <alignment vertical="top" wrapText="1"/>
    </xf>
    <xf numFmtId="165" fontId="5" fillId="17" borderId="52" xfId="2" applyNumberFormat="1" applyFont="1" applyFill="1" applyBorder="1" applyAlignment="1" applyProtection="1">
      <alignment vertical="top" wrapText="1"/>
    </xf>
    <xf numFmtId="165" fontId="3" fillId="9" borderId="42" xfId="2" applyNumberFormat="1" applyFont="1" applyFill="1" applyBorder="1" applyProtection="1"/>
    <xf numFmtId="43" fontId="0" fillId="0" borderId="21" xfId="1" applyFont="1" applyBorder="1" applyProtection="1"/>
    <xf numFmtId="164" fontId="3" fillId="17" borderId="29" xfId="0" applyNumberFormat="1" applyFont="1" applyFill="1" applyBorder="1" applyProtection="1"/>
    <xf numFmtId="164" fontId="3" fillId="5" borderId="0" xfId="0" applyNumberFormat="1" applyFont="1" applyFill="1" applyBorder="1" applyProtection="1"/>
    <xf numFmtId="164" fontId="32" fillId="10" borderId="1" xfId="3" applyNumberFormat="1" applyFont="1" applyFill="1" applyBorder="1" applyProtection="1"/>
    <xf numFmtId="165" fontId="0" fillId="17" borderId="17" xfId="2" applyNumberFormat="1" applyFont="1" applyFill="1" applyBorder="1" applyAlignment="1" applyProtection="1">
      <alignment horizontal="left" wrapText="1"/>
    </xf>
    <xf numFmtId="0" fontId="0" fillId="0" borderId="6" xfId="0" applyBorder="1" applyProtection="1"/>
    <xf numFmtId="165" fontId="4" fillId="3" borderId="34" xfId="2" applyNumberFormat="1" applyFont="1" applyFill="1" applyBorder="1" applyAlignment="1" applyProtection="1">
      <alignment horizontal="center" vertical="top" wrapText="1"/>
      <protection locked="0"/>
    </xf>
    <xf numFmtId="165" fontId="4" fillId="3" borderId="136" xfId="2" applyNumberFormat="1" applyFont="1" applyFill="1" applyBorder="1" applyAlignment="1" applyProtection="1">
      <alignment horizontal="center" vertical="top" wrapText="1"/>
      <protection locked="0"/>
    </xf>
    <xf numFmtId="0" fontId="5" fillId="16" borderId="60" xfId="0" applyFont="1" applyFill="1" applyBorder="1" applyAlignment="1" applyProtection="1">
      <alignment horizontal="center" vertical="top" wrapText="1"/>
    </xf>
    <xf numFmtId="0" fontId="4" fillId="17"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5" fillId="17" borderId="72" xfId="0" applyFont="1" applyFill="1" applyBorder="1" applyAlignment="1" applyProtection="1">
      <alignment horizontal="left" vertical="top" wrapText="1"/>
    </xf>
    <xf numFmtId="0" fontId="4" fillId="17" borderId="137" xfId="0" applyFont="1" applyFill="1" applyBorder="1" applyAlignment="1" applyProtection="1">
      <alignment horizontal="center" vertical="center" wrapText="1"/>
    </xf>
    <xf numFmtId="0" fontId="2" fillId="10" borderId="51" xfId="0" applyFont="1" applyFill="1" applyBorder="1" applyAlignment="1" applyProtection="1">
      <alignment horizontal="center" vertical="center" wrapText="1"/>
    </xf>
    <xf numFmtId="0" fontId="2" fillId="9" borderId="2" xfId="0" applyFont="1" applyFill="1" applyBorder="1" applyAlignment="1" applyProtection="1">
      <alignment vertical="top" wrapText="1"/>
    </xf>
    <xf numFmtId="0" fontId="2" fillId="9" borderId="51" xfId="0" applyFont="1" applyFill="1" applyBorder="1" applyAlignment="1" applyProtection="1">
      <alignment horizontal="center" vertical="center" wrapText="1"/>
    </xf>
    <xf numFmtId="0" fontId="2" fillId="19" borderId="2" xfId="0" applyFont="1" applyFill="1" applyBorder="1" applyAlignment="1" applyProtection="1">
      <alignment vertical="top" wrapText="1"/>
    </xf>
    <xf numFmtId="0" fontId="2" fillId="19" borderId="51" xfId="0" applyFont="1" applyFill="1" applyBorder="1" applyAlignment="1" applyProtection="1">
      <alignment horizontal="center" vertical="center" wrapText="1"/>
    </xf>
    <xf numFmtId="165" fontId="5" fillId="17" borderId="4" xfId="2" applyNumberFormat="1" applyFont="1" applyFill="1" applyBorder="1" applyAlignment="1" applyProtection="1">
      <alignment vertical="top" wrapText="1"/>
    </xf>
    <xf numFmtId="165" fontId="5" fillId="5" borderId="0" xfId="2" applyNumberFormat="1" applyFont="1" applyFill="1" applyBorder="1" applyAlignment="1" applyProtection="1">
      <alignment vertical="top" wrapText="1"/>
    </xf>
    <xf numFmtId="165" fontId="5" fillId="17" borderId="63" xfId="2" applyNumberFormat="1" applyFont="1" applyFill="1" applyBorder="1" applyAlignment="1" applyProtection="1">
      <alignment vertical="top" wrapText="1"/>
    </xf>
    <xf numFmtId="164" fontId="32" fillId="9" borderId="1" xfId="3" applyNumberFormat="1" applyFont="1" applyFill="1" applyBorder="1" applyProtection="1"/>
    <xf numFmtId="164" fontId="32" fillId="19" borderId="1" xfId="3" applyNumberFormat="1" applyFont="1" applyFill="1" applyBorder="1" applyProtection="1"/>
    <xf numFmtId="165" fontId="0" fillId="17" borderId="1" xfId="2" applyNumberFormat="1" applyFont="1" applyFill="1" applyBorder="1" applyAlignment="1" applyProtection="1">
      <alignment horizontal="left" wrapText="1"/>
    </xf>
    <xf numFmtId="165" fontId="0" fillId="5" borderId="0" xfId="2" applyNumberFormat="1" applyFont="1" applyFill="1" applyBorder="1" applyAlignment="1" applyProtection="1">
      <alignment horizontal="left" wrapText="1"/>
    </xf>
    <xf numFmtId="0" fontId="0" fillId="17" borderId="0" xfId="0" applyFont="1" applyFill="1" applyBorder="1" applyAlignment="1" applyProtection="1">
      <alignment horizontal="left" vertical="center" wrapText="1"/>
    </xf>
    <xf numFmtId="165" fontId="4" fillId="0" borderId="61" xfId="2" applyNumberFormat="1" applyFont="1" applyFill="1" applyBorder="1" applyAlignment="1" applyProtection="1">
      <alignment horizontal="center" vertical="top" wrapText="1"/>
    </xf>
    <xf numFmtId="0" fontId="31" fillId="9" borderId="70" xfId="0" applyFont="1" applyFill="1" applyBorder="1" applyAlignment="1" applyProtection="1">
      <alignment horizontal="left" vertical="center" wrapText="1"/>
    </xf>
    <xf numFmtId="0" fontId="31" fillId="19" borderId="70" xfId="0" applyFont="1" applyFill="1" applyBorder="1" applyAlignment="1" applyProtection="1">
      <alignment horizontal="left" vertical="center" wrapText="1"/>
    </xf>
    <xf numFmtId="165" fontId="4" fillId="3" borderId="61" xfId="2" applyNumberFormat="1" applyFont="1" applyFill="1" applyBorder="1" applyAlignment="1" applyProtection="1">
      <alignment horizontal="center" vertical="center" wrapText="1"/>
      <protection locked="0"/>
    </xf>
    <xf numFmtId="0" fontId="11" fillId="22" borderId="27" xfId="0" applyFont="1" applyFill="1" applyBorder="1" applyAlignment="1" applyProtection="1">
      <alignment horizontal="left"/>
    </xf>
    <xf numFmtId="0" fontId="3" fillId="22" borderId="30" xfId="0" applyFont="1" applyFill="1" applyBorder="1" applyAlignment="1" applyProtection="1">
      <alignment horizontal="center" vertical="center"/>
    </xf>
    <xf numFmtId="165" fontId="3" fillId="22" borderId="1" xfId="2" applyNumberFormat="1" applyFont="1" applyFill="1" applyBorder="1" applyAlignment="1" applyProtection="1">
      <alignment vertical="center"/>
    </xf>
    <xf numFmtId="42" fontId="3" fillId="22" borderId="1" xfId="5" applyFont="1" applyFill="1" applyBorder="1" applyAlignment="1" applyProtection="1">
      <alignment vertical="center"/>
    </xf>
    <xf numFmtId="0" fontId="11" fillId="22" borderId="1" xfId="0" applyFont="1" applyFill="1" applyBorder="1" applyAlignment="1" applyProtection="1">
      <alignment horizontal="left" wrapText="1"/>
    </xf>
    <xf numFmtId="0" fontId="16" fillId="22" borderId="1" xfId="0" applyFont="1" applyFill="1" applyBorder="1" applyAlignment="1" applyProtection="1">
      <alignment horizontal="center" wrapText="1"/>
    </xf>
    <xf numFmtId="165" fontId="0" fillId="22" borderId="1" xfId="2" applyNumberFormat="1" applyFont="1" applyFill="1" applyBorder="1" applyAlignment="1" applyProtection="1">
      <alignment horizontal="center" vertical="center"/>
    </xf>
    <xf numFmtId="0" fontId="15" fillId="22" borderId="1" xfId="0" applyFont="1" applyFill="1" applyBorder="1" applyAlignment="1" applyProtection="1">
      <alignment horizontal="left" wrapText="1"/>
    </xf>
    <xf numFmtId="0" fontId="4" fillId="22" borderId="3" xfId="0" applyFont="1" applyFill="1" applyBorder="1" applyAlignment="1" applyProtection="1">
      <alignment horizontal="center" wrapText="1"/>
    </xf>
    <xf numFmtId="0" fontId="10" fillId="22" borderId="2" xfId="0" applyFont="1" applyFill="1" applyBorder="1" applyAlignment="1" applyProtection="1">
      <alignment horizontal="left" wrapText="1"/>
    </xf>
    <xf numFmtId="0" fontId="4" fillId="22" borderId="1" xfId="0" applyFont="1" applyFill="1" applyBorder="1" applyAlignment="1" applyProtection="1">
      <alignment horizontal="center" wrapText="1"/>
    </xf>
    <xf numFmtId="0" fontId="3" fillId="17" borderId="27" xfId="0" applyFont="1" applyFill="1" applyBorder="1" applyAlignment="1" applyProtection="1">
      <alignment horizontal="left"/>
    </xf>
    <xf numFmtId="165" fontId="0" fillId="0" borderId="141" xfId="2" applyNumberFormat="1" applyFont="1" applyBorder="1" applyAlignment="1" applyProtection="1">
      <alignment vertical="center"/>
    </xf>
    <xf numFmtId="0" fontId="0" fillId="20" borderId="38" xfId="0" applyFont="1" applyFill="1" applyBorder="1" applyAlignment="1" applyProtection="1">
      <alignment horizontal="left" vertical="center" wrapText="1"/>
    </xf>
    <xf numFmtId="0" fontId="6" fillId="0" borderId="11" xfId="0" applyFont="1" applyFill="1" applyBorder="1" applyAlignment="1" applyProtection="1">
      <alignment horizontal="center" vertical="top" wrapText="1"/>
    </xf>
    <xf numFmtId="165" fontId="4" fillId="3" borderId="41" xfId="2" applyNumberFormat="1" applyFont="1" applyFill="1" applyBorder="1" applyAlignment="1" applyProtection="1">
      <alignment horizontal="left" vertical="center" wrapText="1"/>
      <protection locked="0"/>
    </xf>
    <xf numFmtId="165" fontId="4" fillId="0" borderId="142" xfId="2" applyNumberFormat="1" applyFont="1" applyFill="1" applyBorder="1" applyAlignment="1" applyProtection="1">
      <alignment horizontal="center" vertical="center" wrapText="1"/>
    </xf>
    <xf numFmtId="0" fontId="0" fillId="17" borderId="1" xfId="0" applyFont="1" applyFill="1" applyBorder="1" applyAlignment="1" applyProtection="1">
      <alignment horizontal="left" wrapText="1"/>
    </xf>
    <xf numFmtId="6" fontId="5" fillId="17" borderId="52" xfId="0" applyNumberFormat="1" applyFont="1" applyFill="1" applyBorder="1" applyAlignment="1" applyProtection="1">
      <alignment vertical="center" wrapText="1"/>
    </xf>
    <xf numFmtId="0" fontId="5" fillId="22" borderId="2" xfId="0" applyFont="1" applyFill="1" applyBorder="1" applyAlignment="1" applyProtection="1">
      <alignment horizontal="left" vertical="center" wrapText="1"/>
    </xf>
    <xf numFmtId="0" fontId="4" fillId="22" borderId="2" xfId="0" applyFont="1" applyFill="1" applyBorder="1" applyAlignment="1" applyProtection="1">
      <alignment horizontal="center" vertical="center" wrapText="1"/>
    </xf>
    <xf numFmtId="165" fontId="5" fillId="22" borderId="1" xfId="0" applyNumberFormat="1" applyFont="1" applyFill="1" applyBorder="1" applyAlignment="1" applyProtection="1">
      <alignment vertical="center" wrapText="1"/>
    </xf>
    <xf numFmtId="165" fontId="5" fillId="22" borderId="4" xfId="0" applyNumberFormat="1" applyFont="1" applyFill="1" applyBorder="1" applyAlignment="1" applyProtection="1">
      <alignment vertical="center" wrapText="1"/>
    </xf>
    <xf numFmtId="0" fontId="3" fillId="5" borderId="1" xfId="0" applyFont="1" applyFill="1" applyBorder="1" applyAlignment="1">
      <alignment horizontal="left" wrapText="1"/>
    </xf>
    <xf numFmtId="41" fontId="0" fillId="5" borderId="1" xfId="3" applyFont="1" applyFill="1" applyBorder="1" applyAlignment="1">
      <alignment horizontal="left" wrapText="1"/>
    </xf>
    <xf numFmtId="41" fontId="0" fillId="5" borderId="1" xfId="0" applyNumberFormat="1" applyFont="1" applyFill="1" applyBorder="1" applyAlignment="1">
      <alignment horizontal="left" wrapText="1"/>
    </xf>
    <xf numFmtId="41" fontId="0" fillId="5" borderId="0" xfId="0" applyNumberFormat="1" applyFont="1" applyFill="1" applyBorder="1" applyAlignment="1">
      <alignment horizontal="left" wrapText="1"/>
    </xf>
    <xf numFmtId="0" fontId="4" fillId="0" borderId="14" xfId="0" applyFont="1" applyBorder="1" applyAlignment="1" applyProtection="1">
      <alignment horizontal="left" vertical="center"/>
    </xf>
    <xf numFmtId="0" fontId="4" fillId="0" borderId="23" xfId="0" applyFont="1" applyBorder="1" applyAlignment="1" applyProtection="1">
      <alignment horizontal="left" vertical="center"/>
    </xf>
    <xf numFmtId="0" fontId="5" fillId="22" borderId="1" xfId="0" applyFont="1" applyFill="1" applyBorder="1" applyAlignment="1" applyProtection="1">
      <alignment horizontal="left" vertical="center" wrapText="1"/>
    </xf>
    <xf numFmtId="0" fontId="3" fillId="17" borderId="1" xfId="0" applyFont="1" applyFill="1" applyBorder="1" applyAlignment="1">
      <alignment horizontal="left" wrapText="1"/>
    </xf>
    <xf numFmtId="41" fontId="3" fillId="17" borderId="1" xfId="3" applyFont="1" applyFill="1" applyBorder="1" applyAlignment="1">
      <alignment horizontal="left" wrapText="1"/>
    </xf>
    <xf numFmtId="41" fontId="3" fillId="17" borderId="1" xfId="0" applyNumberFormat="1" applyFont="1" applyFill="1" applyBorder="1" applyAlignment="1">
      <alignment horizontal="left" wrapText="1"/>
    </xf>
    <xf numFmtId="10" fontId="3" fillId="17" borderId="1" xfId="4" applyNumberFormat="1" applyFont="1" applyFill="1" applyBorder="1" applyAlignment="1">
      <alignment horizontal="right" wrapText="1"/>
    </xf>
    <xf numFmtId="3" fontId="53" fillId="5" borderId="72" xfId="0" applyNumberFormat="1" applyFont="1" applyFill="1" applyBorder="1" applyAlignment="1" applyProtection="1">
      <alignment horizontal="left"/>
    </xf>
    <xf numFmtId="164" fontId="2" fillId="16" borderId="5" xfId="1" applyNumberFormat="1" applyFont="1" applyFill="1" applyBorder="1" applyProtection="1"/>
    <xf numFmtId="0" fontId="2" fillId="16" borderId="5" xfId="0" applyFont="1" applyFill="1" applyBorder="1" applyProtection="1"/>
    <xf numFmtId="43" fontId="0" fillId="0" borderId="25" xfId="3" applyNumberFormat="1" applyFont="1" applyBorder="1" applyProtection="1"/>
    <xf numFmtId="0" fontId="0" fillId="11" borderId="72" xfId="0" applyFont="1" applyFill="1" applyBorder="1" applyAlignment="1">
      <alignment horizontal="left" vertical="top" wrapText="1"/>
    </xf>
    <xf numFmtId="164" fontId="72" fillId="5" borderId="5" xfId="1" applyNumberFormat="1" applyFont="1" applyFill="1" applyBorder="1" applyProtection="1"/>
    <xf numFmtId="170" fontId="5" fillId="0" borderId="62" xfId="2" applyNumberFormat="1" applyFont="1" applyFill="1" applyBorder="1" applyAlignment="1">
      <alignment horizontal="right" vertical="center" wrapText="1"/>
    </xf>
    <xf numFmtId="42" fontId="4" fillId="0" borderId="49" xfId="5" applyFont="1" applyFill="1" applyBorder="1" applyAlignment="1">
      <alignment vertical="center" wrapText="1"/>
    </xf>
    <xf numFmtId="165" fontId="4" fillId="0" borderId="49" xfId="2" applyNumberFormat="1" applyFont="1" applyFill="1" applyBorder="1" applyAlignment="1">
      <alignment vertical="center" wrapText="1"/>
    </xf>
    <xf numFmtId="165" fontId="5" fillId="0" borderId="62" xfId="2" applyNumberFormat="1" applyFont="1" applyFill="1" applyBorder="1" applyAlignment="1">
      <alignment horizontal="right" vertical="center" wrapText="1"/>
    </xf>
    <xf numFmtId="170" fontId="5" fillId="0" borderId="34" xfId="2" applyNumberFormat="1" applyFont="1" applyFill="1" applyBorder="1" applyAlignment="1">
      <alignment horizontal="right" vertical="center" wrapText="1"/>
    </xf>
    <xf numFmtId="165" fontId="5" fillId="2" borderId="70" xfId="2" applyNumberFormat="1" applyFont="1" applyFill="1" applyBorder="1" applyAlignment="1">
      <alignment vertical="center" wrapText="1"/>
    </xf>
    <xf numFmtId="165" fontId="5" fillId="2" borderId="1" xfId="2" applyNumberFormat="1" applyFont="1" applyFill="1" applyBorder="1" applyAlignment="1">
      <alignment horizontal="right" vertical="center" wrapText="1"/>
    </xf>
    <xf numFmtId="165" fontId="5" fillId="17" borderId="46" xfId="2" applyNumberFormat="1" applyFont="1" applyFill="1" applyBorder="1" applyAlignment="1">
      <alignment vertical="center" wrapText="1"/>
    </xf>
    <xf numFmtId="165" fontId="5" fillId="17" borderId="62" xfId="2" applyNumberFormat="1" applyFont="1" applyFill="1" applyBorder="1" applyAlignment="1">
      <alignment horizontal="right" vertical="center" wrapText="1"/>
    </xf>
    <xf numFmtId="165" fontId="5" fillId="12" borderId="77" xfId="2" applyNumberFormat="1" applyFont="1" applyFill="1" applyBorder="1" applyAlignment="1">
      <alignment horizontal="right" vertical="center" wrapText="1"/>
    </xf>
    <xf numFmtId="9" fontId="0" fillId="0" borderId="0" xfId="0" applyNumberFormat="1" applyBorder="1" applyAlignment="1">
      <alignment horizontal="right"/>
    </xf>
    <xf numFmtId="9" fontId="0" fillId="0" borderId="63" xfId="0" applyNumberFormat="1" applyBorder="1" applyAlignment="1">
      <alignment horizontal="right"/>
    </xf>
    <xf numFmtId="0" fontId="0" fillId="23" borderId="27" xfId="0" applyFill="1" applyBorder="1" applyProtection="1"/>
    <xf numFmtId="0" fontId="0" fillId="23" borderId="28" xfId="0" applyFill="1" applyBorder="1" applyProtection="1"/>
    <xf numFmtId="164" fontId="3" fillId="23" borderId="29" xfId="0" applyNumberFormat="1" applyFont="1" applyFill="1" applyBorder="1" applyProtection="1"/>
    <xf numFmtId="165" fontId="47" fillId="3" borderId="20" xfId="2" applyNumberFormat="1" applyFont="1" applyFill="1" applyBorder="1" applyAlignment="1" applyProtection="1">
      <alignment vertical="center"/>
      <protection locked="0"/>
    </xf>
    <xf numFmtId="0" fontId="4" fillId="0" borderId="72" xfId="0" applyFont="1" applyFill="1" applyBorder="1" applyAlignment="1" applyProtection="1">
      <alignment horizontal="left" vertical="top" wrapText="1"/>
    </xf>
    <xf numFmtId="165" fontId="5" fillId="22" borderId="1" xfId="2" applyNumberFormat="1" applyFont="1" applyFill="1" applyBorder="1" applyAlignment="1">
      <alignment horizontal="center" vertical="center" wrapText="1"/>
    </xf>
    <xf numFmtId="165" fontId="5" fillId="22" borderId="1" xfId="2" applyNumberFormat="1" applyFont="1" applyFill="1" applyBorder="1" applyAlignment="1">
      <alignment horizontal="right" vertical="center" wrapText="1"/>
    </xf>
    <xf numFmtId="0" fontId="5" fillId="22" borderId="1" xfId="0" applyFont="1" applyFill="1" applyBorder="1" applyAlignment="1">
      <alignment horizontal="center" vertical="top" wrapText="1"/>
    </xf>
    <xf numFmtId="42" fontId="3" fillId="0" borderId="1" xfId="5" applyFont="1" applyFill="1" applyBorder="1" applyAlignment="1" applyProtection="1">
      <alignment vertical="center"/>
    </xf>
    <xf numFmtId="0" fontId="15" fillId="25" borderId="1" xfId="0" applyFont="1" applyFill="1" applyBorder="1" applyAlignment="1" applyProtection="1">
      <alignment horizontal="left" wrapText="1"/>
    </xf>
    <xf numFmtId="0" fontId="4" fillId="25" borderId="3" xfId="0" applyFont="1" applyFill="1" applyBorder="1" applyAlignment="1" applyProtection="1">
      <alignment horizontal="center" wrapText="1"/>
    </xf>
    <xf numFmtId="0" fontId="5" fillId="25" borderId="2" xfId="0" applyFont="1" applyFill="1" applyBorder="1" applyAlignment="1" applyProtection="1">
      <alignment horizontal="left" vertical="top" wrapText="1"/>
    </xf>
    <xf numFmtId="0" fontId="4" fillId="25" borderId="51" xfId="0" applyFont="1" applyFill="1" applyBorder="1" applyAlignment="1" applyProtection="1">
      <alignment horizontal="center" vertical="center" wrapText="1"/>
    </xf>
    <xf numFmtId="0" fontId="5" fillId="9" borderId="2" xfId="0" applyFont="1" applyFill="1" applyBorder="1" applyAlignment="1" applyProtection="1">
      <alignment horizontal="left" vertical="top" wrapText="1"/>
    </xf>
    <xf numFmtId="0" fontId="4" fillId="9" borderId="2" xfId="0" applyFont="1" applyFill="1" applyBorder="1" applyAlignment="1" applyProtection="1">
      <alignment horizontal="center" vertical="center" wrapText="1"/>
    </xf>
    <xf numFmtId="165" fontId="4" fillId="9" borderId="1" xfId="2" applyNumberFormat="1" applyFont="1" applyFill="1" applyBorder="1" applyAlignment="1" applyProtection="1">
      <alignment horizontal="center" vertical="top" wrapText="1"/>
      <protection locked="0"/>
    </xf>
    <xf numFmtId="0" fontId="0" fillId="5" borderId="157" xfId="0" applyFill="1" applyBorder="1"/>
    <xf numFmtId="41" fontId="0" fillId="5" borderId="157" xfId="3" applyFont="1" applyFill="1" applyBorder="1"/>
    <xf numFmtId="165" fontId="0" fillId="25" borderId="1" xfId="2" applyNumberFormat="1" applyFont="1" applyFill="1" applyBorder="1" applyAlignment="1" applyProtection="1">
      <alignment horizontal="center" vertical="center"/>
      <protection locked="0"/>
    </xf>
    <xf numFmtId="165" fontId="4" fillId="25" borderId="61" xfId="2" applyNumberFormat="1" applyFont="1" applyFill="1" applyBorder="1" applyAlignment="1" applyProtection="1">
      <alignment horizontal="center" vertical="top" wrapText="1"/>
      <protection locked="0"/>
    </xf>
    <xf numFmtId="165" fontId="4" fillId="0" borderId="59" xfId="2" applyNumberFormat="1" applyFont="1" applyFill="1" applyBorder="1" applyAlignment="1" applyProtection="1">
      <alignment vertical="center" wrapText="1"/>
    </xf>
    <xf numFmtId="0" fontId="38" fillId="13" borderId="100" xfId="0" applyNumberFormat="1" applyFont="1" applyFill="1" applyBorder="1" applyAlignment="1">
      <alignment vertical="center" wrapText="1"/>
    </xf>
    <xf numFmtId="0" fontId="67" fillId="0" borderId="96" xfId="0" applyFont="1" applyFill="1" applyBorder="1" applyAlignment="1">
      <alignment horizontal="center" vertical="center" wrapText="1"/>
    </xf>
    <xf numFmtId="0" fontId="67" fillId="5" borderId="96" xfId="0" applyFont="1" applyFill="1" applyBorder="1" applyAlignment="1">
      <alignment horizontal="center" vertical="center" wrapText="1"/>
    </xf>
    <xf numFmtId="0" fontId="0" fillId="5" borderId="0" xfId="0" applyFill="1" applyAlignment="1" applyProtection="1">
      <alignment horizontal="left" vertical="top"/>
      <protection locked="0"/>
    </xf>
    <xf numFmtId="0" fontId="0" fillId="0" borderId="44" xfId="1" applyNumberFormat="1" applyFont="1" applyBorder="1" applyAlignment="1" applyProtection="1">
      <alignment horizontal="left"/>
      <protection locked="0"/>
    </xf>
    <xf numFmtId="49" fontId="0" fillId="0" borderId="159" xfId="0" applyNumberFormat="1" applyBorder="1" applyAlignment="1" applyProtection="1">
      <alignment horizontal="left"/>
      <protection locked="0"/>
    </xf>
    <xf numFmtId="49" fontId="0" fillId="0" borderId="162" xfId="0" applyNumberFormat="1" applyBorder="1" applyAlignment="1" applyProtection="1">
      <alignment horizontal="left"/>
      <protection locked="0"/>
    </xf>
    <xf numFmtId="0" fontId="0" fillId="5" borderId="0" xfId="0" applyFill="1" applyAlignment="1" applyProtection="1">
      <alignment horizontal="left" vertical="top"/>
    </xf>
    <xf numFmtId="0" fontId="53" fillId="5" borderId="5" xfId="0" applyFont="1" applyFill="1" applyBorder="1" applyProtection="1">
      <protection locked="0"/>
    </xf>
    <xf numFmtId="3" fontId="53" fillId="5" borderId="14" xfId="0" applyNumberFormat="1" applyFont="1" applyFill="1" applyBorder="1" applyAlignment="1" applyProtection="1">
      <alignment horizontal="left"/>
      <protection locked="0"/>
    </xf>
    <xf numFmtId="3" fontId="53" fillId="5" borderId="36" xfId="0" applyNumberFormat="1" applyFont="1" applyFill="1" applyBorder="1" applyAlignment="1" applyProtection="1">
      <alignment horizontal="left"/>
      <protection locked="0"/>
    </xf>
    <xf numFmtId="0" fontId="53" fillId="5" borderId="133" xfId="0" applyFont="1" applyFill="1" applyBorder="1" applyProtection="1">
      <protection locked="0"/>
    </xf>
    <xf numFmtId="10" fontId="53" fillId="5" borderId="24" xfId="4" applyNumberFormat="1" applyFont="1" applyFill="1" applyBorder="1" applyProtection="1"/>
    <xf numFmtId="38" fontId="53" fillId="5" borderId="41" xfId="4" applyNumberFormat="1" applyFont="1" applyFill="1" applyBorder="1" applyProtection="1"/>
    <xf numFmtId="0" fontId="0" fillId="5" borderId="84" xfId="0" applyFill="1" applyBorder="1" applyProtection="1"/>
    <xf numFmtId="44" fontId="0" fillId="21" borderId="1" xfId="2" applyFont="1" applyFill="1" applyBorder="1" applyProtection="1">
      <protection locked="0"/>
    </xf>
    <xf numFmtId="0" fontId="24" fillId="16" borderId="1" xfId="0" applyFont="1" applyFill="1" applyBorder="1" applyAlignment="1" applyProtection="1">
      <alignment horizontal="center" vertical="center" wrapText="1"/>
    </xf>
    <xf numFmtId="3" fontId="57" fillId="24" borderId="151" xfId="0" applyNumberFormat="1" applyFont="1" applyFill="1" applyBorder="1" applyProtection="1">
      <protection locked="0"/>
    </xf>
    <xf numFmtId="171" fontId="53" fillId="8" borderId="153" xfId="1" applyNumberFormat="1" applyFont="1" applyFill="1" applyBorder="1" applyAlignment="1" applyProtection="1">
      <protection locked="0"/>
    </xf>
    <xf numFmtId="171" fontId="75" fillId="19" borderId="149" xfId="1" applyNumberFormat="1" applyFont="1" applyFill="1" applyBorder="1" applyAlignment="1" applyProtection="1">
      <protection locked="0"/>
    </xf>
    <xf numFmtId="171" fontId="75" fillId="19" borderId="151" xfId="1" applyNumberFormat="1" applyFont="1" applyFill="1" applyBorder="1" applyAlignment="1" applyProtection="1">
      <protection locked="0"/>
    </xf>
    <xf numFmtId="3" fontId="57" fillId="14" borderId="151" xfId="0" applyNumberFormat="1" applyFont="1" applyFill="1" applyBorder="1" applyProtection="1">
      <protection locked="0"/>
    </xf>
    <xf numFmtId="173" fontId="78" fillId="3" borderId="41" xfId="2" applyNumberFormat="1" applyFont="1" applyFill="1" applyBorder="1" applyProtection="1">
      <protection locked="0"/>
    </xf>
    <xf numFmtId="0" fontId="0" fillId="0" borderId="0" xfId="0" applyBorder="1" applyProtection="1"/>
    <xf numFmtId="9" fontId="0" fillId="0" borderId="0" xfId="0" applyNumberFormat="1" applyBorder="1" applyProtection="1"/>
    <xf numFmtId="0" fontId="53" fillId="0" borderId="152" xfId="0" applyFont="1" applyFill="1" applyBorder="1" applyAlignment="1" applyProtection="1"/>
    <xf numFmtId="0" fontId="57" fillId="0" borderId="155" xfId="0" applyFont="1" applyFill="1" applyBorder="1" applyAlignment="1" applyProtection="1">
      <alignment horizontal="left"/>
    </xf>
    <xf numFmtId="0" fontId="53" fillId="0" borderId="155" xfId="0" applyFont="1" applyFill="1" applyBorder="1" applyAlignment="1" applyProtection="1"/>
    <xf numFmtId="9" fontId="57" fillId="0" borderId="155" xfId="0" applyNumberFormat="1" applyFont="1" applyFill="1" applyBorder="1" applyAlignment="1" applyProtection="1"/>
    <xf numFmtId="0" fontId="57" fillId="0" borderId="156" xfId="0" applyFont="1" applyFill="1" applyBorder="1" applyAlignment="1" applyProtection="1"/>
    <xf numFmtId="0" fontId="57" fillId="0" borderId="0" xfId="0" applyFont="1" applyFill="1" applyBorder="1" applyAlignment="1" applyProtection="1">
      <alignment horizontal="left"/>
    </xf>
    <xf numFmtId="0" fontId="74" fillId="0" borderId="0" xfId="0" applyFont="1" applyFill="1" applyBorder="1" applyAlignment="1" applyProtection="1"/>
    <xf numFmtId="0" fontId="57" fillId="0" borderId="147" xfId="0" applyFont="1" applyFill="1" applyBorder="1" applyAlignment="1" applyProtection="1"/>
    <xf numFmtId="0" fontId="53" fillId="0" borderId="0" xfId="0" applyFont="1" applyFill="1" applyProtection="1"/>
    <xf numFmtId="0" fontId="57" fillId="26" borderId="151" xfId="0" applyFont="1" applyFill="1" applyBorder="1" applyAlignment="1" applyProtection="1"/>
    <xf numFmtId="0" fontId="17" fillId="0" borderId="151" xfId="0" applyFont="1" applyBorder="1" applyProtection="1"/>
    <xf numFmtId="0" fontId="57" fillId="0" borderId="151" xfId="0" applyFont="1" applyFill="1" applyBorder="1" applyAlignment="1" applyProtection="1"/>
    <xf numFmtId="0" fontId="67" fillId="0" borderId="151" xfId="0" applyFont="1" applyFill="1" applyBorder="1" applyAlignment="1" applyProtection="1">
      <alignment vertical="center" wrapText="1"/>
    </xf>
    <xf numFmtId="0" fontId="67" fillId="0" borderId="146" xfId="0" applyFont="1" applyFill="1" applyBorder="1" applyAlignment="1" applyProtection="1">
      <alignment vertical="center" wrapText="1"/>
    </xf>
    <xf numFmtId="171" fontId="53" fillId="0" borderId="153" xfId="1" applyNumberFormat="1" applyFont="1" applyFill="1" applyBorder="1" applyAlignment="1" applyProtection="1"/>
    <xf numFmtId="171" fontId="53" fillId="0" borderId="154" xfId="1" applyNumberFormat="1" applyFont="1" applyFill="1" applyBorder="1" applyAlignment="1" applyProtection="1"/>
    <xf numFmtId="172" fontId="57" fillId="0" borderId="151" xfId="1" applyNumberFormat="1" applyFont="1" applyFill="1" applyBorder="1" applyAlignment="1" applyProtection="1"/>
    <xf numFmtId="171" fontId="53" fillId="0" borderId="152" xfId="1" applyNumberFormat="1" applyFont="1" applyFill="1" applyBorder="1" applyAlignment="1" applyProtection="1"/>
    <xf numFmtId="171" fontId="53" fillId="0" borderId="155" xfId="1" applyNumberFormat="1" applyFont="1" applyFill="1" applyBorder="1" applyAlignment="1" applyProtection="1"/>
    <xf numFmtId="171" fontId="53" fillId="0" borderId="156" xfId="1" applyNumberFormat="1" applyFont="1" applyFill="1" applyBorder="1" applyAlignment="1" applyProtection="1"/>
    <xf numFmtId="172" fontId="57" fillId="0" borderId="150" xfId="1" applyNumberFormat="1" applyFont="1" applyFill="1" applyBorder="1" applyAlignment="1" applyProtection="1"/>
    <xf numFmtId="0" fontId="53" fillId="0" borderId="0" xfId="113" applyFont="1"/>
    <xf numFmtId="170" fontId="53" fillId="0" borderId="0" xfId="113" applyNumberFormat="1" applyFont="1"/>
    <xf numFmtId="0" fontId="55" fillId="0" borderId="0" xfId="113" applyFont="1" applyAlignment="1">
      <alignment horizontal="center"/>
    </xf>
    <xf numFmtId="174" fontId="53" fillId="0" borderId="164" xfId="113" applyNumberFormat="1" applyFont="1" applyBorder="1" applyAlignment="1">
      <alignment horizontal="right"/>
    </xf>
    <xf numFmtId="0" fontId="57" fillId="0" borderId="0" xfId="113" applyFont="1"/>
    <xf numFmtId="174" fontId="57" fillId="0" borderId="165" xfId="113" applyNumberFormat="1" applyFont="1" applyBorder="1" applyAlignment="1">
      <alignment horizontal="right"/>
    </xf>
    <xf numFmtId="174" fontId="57" fillId="0" borderId="166" xfId="113" applyNumberFormat="1" applyFont="1" applyBorder="1" applyAlignment="1">
      <alignment horizontal="right"/>
    </xf>
    <xf numFmtId="0" fontId="57" fillId="0" borderId="0" xfId="113" applyFont="1" applyBorder="1" applyAlignment="1">
      <alignment horizontal="left"/>
    </xf>
    <xf numFmtId="174" fontId="57" fillId="0" borderId="167" xfId="113" applyNumberFormat="1" applyFont="1" applyBorder="1" applyAlignment="1">
      <alignment horizontal="right"/>
    </xf>
    <xf numFmtId="174" fontId="57" fillId="0" borderId="168" xfId="113" applyNumberFormat="1" applyFont="1" applyBorder="1" applyAlignment="1">
      <alignment horizontal="right"/>
    </xf>
    <xf numFmtId="0" fontId="57" fillId="0" borderId="169" xfId="113" applyFont="1" applyBorder="1" applyAlignment="1">
      <alignment horizontal="left"/>
    </xf>
    <xf numFmtId="174" fontId="53" fillId="0" borderId="167" xfId="113" applyNumberFormat="1" applyFont="1" applyBorder="1" applyAlignment="1">
      <alignment horizontal="right"/>
    </xf>
    <xf numFmtId="174" fontId="53" fillId="0" borderId="168" xfId="113" applyNumberFormat="1" applyFont="1" applyBorder="1" applyAlignment="1">
      <alignment horizontal="right"/>
    </xf>
    <xf numFmtId="0" fontId="53" fillId="0" borderId="169" xfId="113" applyFont="1" applyBorder="1"/>
    <xf numFmtId="174" fontId="53" fillId="0" borderId="0" xfId="113" applyNumberFormat="1" applyFont="1"/>
    <xf numFmtId="174" fontId="53" fillId="0" borderId="170" xfId="113" applyNumberFormat="1" applyFont="1" applyBorder="1" applyAlignment="1">
      <alignment horizontal="right"/>
    </xf>
    <xf numFmtId="174" fontId="53" fillId="0" borderId="171" xfId="113" applyNumberFormat="1" applyFont="1" applyBorder="1" applyAlignment="1">
      <alignment horizontal="right"/>
    </xf>
    <xf numFmtId="175" fontId="53" fillId="0" borderId="168" xfId="3" applyNumberFormat="1" applyFont="1" applyBorder="1" applyAlignment="1">
      <alignment horizontal="right"/>
    </xf>
    <xf numFmtId="41" fontId="53" fillId="0" borderId="168" xfId="3" applyFont="1" applyBorder="1" applyAlignment="1">
      <alignment horizontal="right"/>
    </xf>
    <xf numFmtId="174" fontId="57" fillId="0" borderId="171" xfId="113" applyNumberFormat="1" applyFont="1" applyBorder="1"/>
    <xf numFmtId="0" fontId="57" fillId="0" borderId="169" xfId="113" applyFont="1" applyBorder="1"/>
    <xf numFmtId="0" fontId="57" fillId="0" borderId="173" xfId="113" applyFont="1" applyBorder="1" applyAlignment="1">
      <alignment horizontal="center"/>
    </xf>
    <xf numFmtId="0" fontId="57" fillId="0" borderId="174" xfId="113" applyFont="1" applyBorder="1" applyAlignment="1">
      <alignment horizontal="center"/>
    </xf>
    <xf numFmtId="0" fontId="0" fillId="0" borderId="158" xfId="0" applyBorder="1" applyAlignment="1" applyProtection="1">
      <alignment horizontal="left"/>
    </xf>
    <xf numFmtId="0" fontId="66" fillId="0" borderId="184" xfId="0" applyFont="1" applyBorder="1" applyAlignment="1">
      <alignment horizontal="center" vertical="center" wrapText="1"/>
    </xf>
    <xf numFmtId="0" fontId="67" fillId="14" borderId="185" xfId="0" applyFont="1" applyFill="1" applyBorder="1" applyAlignment="1">
      <alignment horizontal="center" vertical="center" wrapText="1"/>
    </xf>
    <xf numFmtId="3" fontId="53" fillId="5" borderId="33" xfId="0" applyNumberFormat="1" applyFont="1" applyFill="1" applyBorder="1" applyAlignment="1" applyProtection="1">
      <alignment horizontal="left"/>
      <protection locked="0"/>
    </xf>
    <xf numFmtId="0" fontId="53" fillId="5" borderId="134" xfId="0" applyFont="1" applyFill="1" applyBorder="1" applyProtection="1">
      <protection locked="0"/>
    </xf>
    <xf numFmtId="3" fontId="53" fillId="0" borderId="157" xfId="34" applyNumberFormat="1" applyFont="1" applyFill="1" applyBorder="1" applyProtection="1">
      <protection locked="0"/>
    </xf>
    <xf numFmtId="3" fontId="53" fillId="0" borderId="159" xfId="34" applyNumberFormat="1" applyFont="1" applyFill="1" applyBorder="1" applyProtection="1">
      <protection locked="0"/>
    </xf>
    <xf numFmtId="165" fontId="0" fillId="0" borderId="186" xfId="2" applyNumberFormat="1" applyFont="1" applyBorder="1" applyAlignment="1" applyProtection="1">
      <alignment vertical="center"/>
    </xf>
    <xf numFmtId="165" fontId="0" fillId="0" borderId="187" xfId="2" applyNumberFormat="1" applyFont="1" applyBorder="1" applyAlignment="1" applyProtection="1">
      <alignment vertical="center"/>
    </xf>
    <xf numFmtId="0" fontId="4" fillId="0" borderId="66" xfId="0" applyFont="1" applyFill="1" applyBorder="1" applyAlignment="1" applyProtection="1">
      <alignment horizontal="left" vertical="top" wrapText="1"/>
    </xf>
    <xf numFmtId="0" fontId="4" fillId="0" borderId="188" xfId="0" applyFont="1" applyFill="1" applyBorder="1" applyAlignment="1" applyProtection="1">
      <alignment horizontal="center" vertical="top" wrapText="1"/>
    </xf>
    <xf numFmtId="0" fontId="4" fillId="0" borderId="189" xfId="0" applyFont="1" applyFill="1" applyBorder="1" applyAlignment="1" applyProtection="1">
      <alignment horizontal="center" vertical="center" wrapText="1"/>
    </xf>
    <xf numFmtId="0" fontId="4" fillId="0" borderId="189" xfId="0" applyFont="1" applyFill="1" applyBorder="1" applyAlignment="1" applyProtection="1">
      <alignment horizontal="center" vertical="top" wrapText="1"/>
    </xf>
    <xf numFmtId="0" fontId="4" fillId="0" borderId="7" xfId="0" applyFont="1" applyFill="1" applyBorder="1" applyAlignment="1" applyProtection="1">
      <alignment horizontal="center" vertical="center" wrapText="1"/>
    </xf>
    <xf numFmtId="0" fontId="4" fillId="0" borderId="137" xfId="0" applyFont="1" applyFill="1" applyBorder="1" applyAlignment="1" applyProtection="1">
      <alignment horizontal="center" vertical="center" wrapText="1"/>
    </xf>
    <xf numFmtId="165" fontId="4" fillId="3" borderId="190" xfId="2" applyNumberFormat="1" applyFont="1" applyFill="1" applyBorder="1" applyAlignment="1" applyProtection="1">
      <alignment horizontal="center" vertical="top" wrapText="1"/>
      <protection locked="0"/>
    </xf>
    <xf numFmtId="165" fontId="4" fillId="3" borderId="191" xfId="2" applyNumberFormat="1" applyFont="1" applyFill="1" applyBorder="1" applyAlignment="1" applyProtection="1">
      <alignment horizontal="center" vertical="center" wrapText="1"/>
      <protection locked="0"/>
    </xf>
    <xf numFmtId="165" fontId="17" fillId="0" borderId="0" xfId="2" applyNumberFormat="1" applyFont="1" applyFill="1" applyBorder="1" applyAlignment="1" applyProtection="1">
      <alignment horizontal="center" vertical="center" wrapText="1"/>
    </xf>
    <xf numFmtId="165" fontId="5" fillId="17" borderId="19" xfId="0" applyNumberFormat="1" applyFont="1" applyFill="1" applyBorder="1" applyAlignment="1" applyProtection="1">
      <alignment vertical="center" wrapText="1"/>
    </xf>
    <xf numFmtId="165" fontId="4" fillId="3" borderId="190" xfId="2" applyNumberFormat="1" applyFont="1" applyFill="1" applyBorder="1" applyAlignment="1" applyProtection="1">
      <alignment horizontal="center" vertical="center" wrapText="1"/>
      <protection locked="0"/>
    </xf>
    <xf numFmtId="42" fontId="3" fillId="0" borderId="183" xfId="5" applyFont="1" applyFill="1" applyBorder="1" applyAlignment="1" applyProtection="1">
      <alignment vertical="center"/>
    </xf>
    <xf numFmtId="165" fontId="4" fillId="3" borderId="192" xfId="2" applyNumberFormat="1" applyFont="1" applyFill="1" applyBorder="1" applyAlignment="1" applyProtection="1">
      <alignment horizontal="center" vertical="center" wrapText="1"/>
      <protection locked="0"/>
    </xf>
    <xf numFmtId="0" fontId="4" fillId="0" borderId="183" xfId="0" applyFont="1" applyFill="1" applyBorder="1" applyAlignment="1" applyProtection="1">
      <alignment horizontal="center" vertical="center" wrapText="1"/>
    </xf>
    <xf numFmtId="0" fontId="4" fillId="0" borderId="183" xfId="0" applyFont="1" applyFill="1" applyBorder="1" applyAlignment="1" applyProtection="1">
      <alignment horizontal="left" vertical="top" wrapText="1"/>
    </xf>
    <xf numFmtId="3" fontId="57" fillId="5" borderId="36" xfId="0" applyNumberFormat="1" applyFont="1" applyFill="1" applyBorder="1" applyAlignment="1" applyProtection="1">
      <alignment horizontal="left"/>
    </xf>
    <xf numFmtId="3" fontId="53" fillId="5" borderId="36" xfId="0" applyNumberFormat="1" applyFont="1" applyFill="1" applyBorder="1" applyAlignment="1" applyProtection="1">
      <alignment horizontal="left"/>
    </xf>
    <xf numFmtId="3" fontId="53" fillId="5" borderId="133" xfId="0" applyNumberFormat="1" applyFont="1" applyFill="1" applyBorder="1" applyAlignment="1" applyProtection="1">
      <alignment horizontal="left"/>
    </xf>
    <xf numFmtId="0" fontId="0" fillId="11" borderId="0" xfId="0" applyFont="1" applyFill="1" applyBorder="1" applyAlignment="1">
      <alignment horizontal="left" vertical="top" wrapText="1"/>
    </xf>
    <xf numFmtId="165" fontId="5" fillId="17" borderId="46" xfId="2" applyNumberFormat="1" applyFont="1" applyFill="1" applyBorder="1" applyAlignment="1">
      <alignment horizontal="center" vertical="center" wrapText="1"/>
    </xf>
    <xf numFmtId="0" fontId="0" fillId="11" borderId="0" xfId="0" applyFont="1" applyFill="1" applyBorder="1" applyAlignment="1">
      <alignment horizontal="left" wrapText="1"/>
    </xf>
    <xf numFmtId="165" fontId="5" fillId="12" borderId="75" xfId="2" applyNumberFormat="1" applyFont="1" applyFill="1" applyBorder="1" applyAlignment="1">
      <alignment horizontal="center" vertical="center" wrapText="1"/>
    </xf>
    <xf numFmtId="0" fontId="62" fillId="14" borderId="96" xfId="0" applyFont="1" applyFill="1" applyBorder="1" applyAlignment="1">
      <alignment vertical="center" wrapText="1"/>
    </xf>
    <xf numFmtId="0" fontId="67" fillId="13" borderId="96" xfId="0" applyFont="1" applyFill="1" applyBorder="1" applyAlignment="1">
      <alignment horizontal="center" vertical="center" wrapText="1"/>
    </xf>
    <xf numFmtId="0" fontId="38" fillId="14" borderId="97" xfId="0" applyFont="1" applyFill="1" applyBorder="1" applyAlignment="1">
      <alignment vertical="center" wrapText="1"/>
    </xf>
    <xf numFmtId="0" fontId="38" fillId="14" borderId="98" xfId="0" applyFont="1" applyFill="1" applyBorder="1" applyAlignment="1">
      <alignment vertical="center" wrapText="1"/>
    </xf>
    <xf numFmtId="0" fontId="38" fillId="0" borderId="96" xfId="0" applyFont="1" applyBorder="1" applyAlignment="1">
      <alignment wrapText="1"/>
    </xf>
    <xf numFmtId="0" fontId="38" fillId="0" borderId="97" xfId="0" applyFont="1" applyBorder="1" applyAlignment="1">
      <alignment wrapText="1"/>
    </xf>
    <xf numFmtId="0" fontId="0" fillId="5" borderId="18" xfId="0" applyFill="1" applyBorder="1" applyProtection="1">
      <protection locked="0"/>
    </xf>
    <xf numFmtId="0" fontId="0" fillId="5" borderId="71" xfId="0" applyFill="1" applyBorder="1" applyProtection="1">
      <protection locked="0"/>
    </xf>
    <xf numFmtId="170" fontId="53" fillId="5" borderId="5" xfId="0" applyNumberFormat="1" applyFont="1" applyFill="1" applyBorder="1" applyProtection="1">
      <protection locked="0"/>
    </xf>
    <xf numFmtId="3" fontId="52" fillId="5" borderId="14" xfId="0" applyNumberFormat="1" applyFont="1" applyFill="1" applyBorder="1" applyAlignment="1" applyProtection="1">
      <alignment horizontal="left"/>
    </xf>
    <xf numFmtId="0" fontId="53" fillId="5" borderId="5" xfId="0" applyFont="1" applyFill="1" applyBorder="1" applyProtection="1"/>
    <xf numFmtId="0" fontId="57" fillId="5" borderId="5" xfId="0" applyFont="1" applyFill="1" applyBorder="1" applyAlignment="1" applyProtection="1">
      <alignment horizontal="center"/>
    </xf>
    <xf numFmtId="0" fontId="57" fillId="5" borderId="22" xfId="0" applyFont="1" applyFill="1" applyBorder="1" applyAlignment="1" applyProtection="1">
      <alignment horizontal="center"/>
    </xf>
    <xf numFmtId="0" fontId="53" fillId="5" borderId="133" xfId="0" applyFont="1" applyFill="1" applyBorder="1" applyProtection="1"/>
    <xf numFmtId="3" fontId="53" fillId="5" borderId="5" xfId="34" applyNumberFormat="1" applyFont="1" applyFill="1" applyBorder="1" applyProtection="1"/>
    <xf numFmtId="3" fontId="53" fillId="5" borderId="22" xfId="34" applyNumberFormat="1" applyFont="1" applyFill="1" applyBorder="1" applyProtection="1"/>
    <xf numFmtId="0" fontId="3" fillId="0" borderId="38" xfId="0" applyFont="1" applyBorder="1" applyAlignment="1" applyProtection="1">
      <alignment horizontal="center" vertical="top"/>
    </xf>
    <xf numFmtId="0" fontId="3" fillId="0" borderId="158" xfId="0" applyFont="1" applyBorder="1" applyAlignment="1" applyProtection="1">
      <alignment horizontal="center" vertical="top"/>
    </xf>
    <xf numFmtId="0" fontId="3" fillId="0" borderId="160" xfId="0" applyFont="1" applyBorder="1" applyAlignment="1" applyProtection="1">
      <alignment horizontal="center" vertical="top"/>
    </xf>
    <xf numFmtId="0" fontId="53" fillId="0" borderId="0" xfId="113" applyFont="1" applyBorder="1"/>
    <xf numFmtId="0" fontId="57" fillId="0" borderId="197" xfId="113" applyFont="1" applyBorder="1" applyAlignment="1">
      <alignment horizontal="center"/>
    </xf>
    <xf numFmtId="0" fontId="57" fillId="0" borderId="199" xfId="113" applyFont="1" applyBorder="1" applyAlignment="1">
      <alignment horizontal="center"/>
    </xf>
    <xf numFmtId="0" fontId="57" fillId="0" borderId="201" xfId="113" applyFont="1" applyBorder="1" applyAlignment="1">
      <alignment horizontal="center"/>
    </xf>
    <xf numFmtId="0" fontId="57" fillId="0" borderId="202" xfId="113" applyFont="1" applyBorder="1"/>
    <xf numFmtId="0" fontId="55" fillId="0" borderId="203" xfId="113" applyFont="1" applyBorder="1" applyAlignment="1">
      <alignment horizontal="center"/>
    </xf>
    <xf numFmtId="0" fontId="53" fillId="0" borderId="202" xfId="113" applyFont="1" applyBorder="1"/>
    <xf numFmtId="0" fontId="58" fillId="0" borderId="203" xfId="113" applyFont="1" applyBorder="1" applyAlignment="1">
      <alignment horizontal="center"/>
    </xf>
    <xf numFmtId="0" fontId="58" fillId="0" borderId="204" xfId="113" applyFont="1" applyBorder="1" applyAlignment="1">
      <alignment horizontal="center"/>
    </xf>
    <xf numFmtId="0" fontId="58" fillId="0" borderId="205" xfId="113" applyFont="1" applyBorder="1" applyAlignment="1">
      <alignment horizontal="center"/>
    </xf>
    <xf numFmtId="0" fontId="55" fillId="0" borderId="205" xfId="113" applyFont="1" applyBorder="1" applyAlignment="1">
      <alignment horizontal="center"/>
    </xf>
    <xf numFmtId="0" fontId="57" fillId="0" borderId="202" xfId="113" applyFont="1" applyBorder="1" applyAlignment="1">
      <alignment horizontal="left"/>
    </xf>
    <xf numFmtId="174" fontId="53" fillId="0" borderId="205" xfId="113" applyNumberFormat="1" applyFont="1" applyBorder="1" applyAlignment="1">
      <alignment horizontal="center"/>
    </xf>
    <xf numFmtId="0" fontId="57" fillId="0" borderId="198" xfId="113" applyFont="1" applyBorder="1" applyAlignment="1">
      <alignment horizontal="left"/>
    </xf>
    <xf numFmtId="0" fontId="53" fillId="0" borderId="205" xfId="113" applyFont="1" applyBorder="1" applyAlignment="1">
      <alignment horizontal="center"/>
    </xf>
    <xf numFmtId="0" fontId="53" fillId="0" borderId="206" xfId="113" applyFont="1" applyBorder="1"/>
    <xf numFmtId="0" fontId="53" fillId="0" borderId="207" xfId="113" applyFont="1" applyBorder="1"/>
    <xf numFmtId="174" fontId="53" fillId="0" borderId="208" xfId="113" applyNumberFormat="1" applyFont="1" applyBorder="1" applyAlignment="1">
      <alignment horizontal="right"/>
    </xf>
    <xf numFmtId="174" fontId="53" fillId="0" borderId="209" xfId="113" applyNumberFormat="1" applyFont="1" applyBorder="1" applyAlignment="1">
      <alignment horizontal="right"/>
    </xf>
    <xf numFmtId="174" fontId="74" fillId="0" borderId="210" xfId="113" applyNumberFormat="1" applyFont="1" applyBorder="1" applyAlignment="1">
      <alignment horizontal="center"/>
    </xf>
    <xf numFmtId="0" fontId="74" fillId="0" borderId="0" xfId="113" applyFont="1" applyAlignment="1">
      <alignment horizontal="center"/>
    </xf>
    <xf numFmtId="175" fontId="53" fillId="21" borderId="172" xfId="3" applyNumberFormat="1" applyFont="1" applyFill="1" applyBorder="1" applyAlignment="1" applyProtection="1">
      <alignment horizontal="right"/>
      <protection locked="0"/>
    </xf>
    <xf numFmtId="175" fontId="53" fillId="21" borderId="168" xfId="3" applyNumberFormat="1" applyFont="1" applyFill="1" applyBorder="1" applyAlignment="1" applyProtection="1">
      <alignment horizontal="right"/>
      <protection locked="0"/>
    </xf>
    <xf numFmtId="174" fontId="53" fillId="21" borderId="167" xfId="113" applyNumberFormat="1" applyFont="1" applyFill="1" applyBorder="1" applyAlignment="1" applyProtection="1">
      <alignment horizontal="right"/>
      <protection locked="0"/>
    </xf>
    <xf numFmtId="43" fontId="30" fillId="0" borderId="64" xfId="3" applyNumberFormat="1" applyFont="1" applyBorder="1" applyProtection="1"/>
    <xf numFmtId="6" fontId="32" fillId="10" borderId="1" xfId="3" applyNumberFormat="1" applyFont="1" applyFill="1" applyBorder="1" applyProtection="1"/>
    <xf numFmtId="164" fontId="0" fillId="5" borderId="0" xfId="1" applyNumberFormat="1" applyFont="1" applyFill="1" applyProtection="1"/>
    <xf numFmtId="164" fontId="0" fillId="5" borderId="0" xfId="0" applyNumberFormat="1" applyFill="1" applyProtection="1"/>
    <xf numFmtId="0" fontId="53" fillId="0" borderId="0" xfId="0" applyFont="1" applyBorder="1" applyAlignment="1" applyProtection="1">
      <alignment vertical="center" wrapText="1"/>
    </xf>
    <xf numFmtId="171" fontId="53" fillId="0" borderId="0" xfId="1" applyNumberFormat="1" applyFont="1" applyFill="1" applyBorder="1" applyProtection="1"/>
    <xf numFmtId="171" fontId="53" fillId="0" borderId="0" xfId="1" applyNumberFormat="1" applyFont="1" applyFill="1" applyProtection="1"/>
    <xf numFmtId="0" fontId="67" fillId="0" borderId="0" xfId="0" applyFont="1" applyFill="1" applyBorder="1" applyAlignment="1" applyProtection="1">
      <alignment vertical="center" wrapText="1"/>
    </xf>
    <xf numFmtId="165" fontId="4" fillId="3" borderId="5" xfId="2" applyNumberFormat="1" applyFont="1" applyFill="1" applyBorder="1" applyAlignment="1" applyProtection="1">
      <alignment horizontal="left" vertical="center" wrapText="1"/>
    </xf>
    <xf numFmtId="0" fontId="2" fillId="27" borderId="2" xfId="0" applyFont="1" applyFill="1" applyBorder="1" applyAlignment="1" applyProtection="1">
      <alignment horizontal="center" vertical="top"/>
    </xf>
    <xf numFmtId="0" fontId="2" fillId="27" borderId="4" xfId="0" applyFont="1" applyFill="1" applyBorder="1" applyAlignment="1" applyProtection="1">
      <alignment horizontal="center" vertical="top"/>
    </xf>
    <xf numFmtId="3" fontId="53" fillId="5" borderId="36" xfId="0" applyNumberFormat="1" applyFont="1" applyFill="1" applyBorder="1" applyAlignment="1" applyProtection="1">
      <alignment horizontal="center"/>
    </xf>
    <xf numFmtId="3" fontId="53" fillId="5" borderId="133" xfId="0" applyNumberFormat="1" applyFont="1" applyFill="1" applyBorder="1" applyAlignment="1" applyProtection="1">
      <alignment horizontal="center"/>
    </xf>
    <xf numFmtId="3" fontId="53" fillId="5" borderId="36" xfId="0" applyNumberFormat="1" applyFont="1" applyFill="1" applyBorder="1" applyAlignment="1" applyProtection="1">
      <alignment horizontal="left" indent="1"/>
      <protection locked="0"/>
    </xf>
    <xf numFmtId="3" fontId="53" fillId="5" borderId="133" xfId="0" applyNumberFormat="1" applyFont="1" applyFill="1" applyBorder="1" applyAlignment="1" applyProtection="1">
      <alignment horizontal="left" indent="1"/>
      <protection locked="0"/>
    </xf>
    <xf numFmtId="3" fontId="57" fillId="5" borderId="36" xfId="0" applyNumberFormat="1" applyFont="1" applyFill="1" applyBorder="1" applyAlignment="1" applyProtection="1">
      <alignment horizontal="left"/>
    </xf>
    <xf numFmtId="3" fontId="57" fillId="5" borderId="133" xfId="0" applyNumberFormat="1" applyFont="1" applyFill="1" applyBorder="1" applyAlignment="1" applyProtection="1">
      <alignment horizontal="left"/>
    </xf>
    <xf numFmtId="3" fontId="53" fillId="5" borderId="36" xfId="0" applyNumberFormat="1" applyFont="1" applyFill="1" applyBorder="1" applyAlignment="1" applyProtection="1">
      <alignment horizontal="left"/>
    </xf>
    <xf numFmtId="3" fontId="53" fillId="5" borderId="133" xfId="0" applyNumberFormat="1" applyFont="1" applyFill="1" applyBorder="1" applyAlignment="1" applyProtection="1">
      <alignment horizontal="left"/>
    </xf>
    <xf numFmtId="0" fontId="51" fillId="5" borderId="2" xfId="0" applyFont="1" applyFill="1" applyBorder="1" applyAlignment="1" applyProtection="1">
      <alignment horizontal="center"/>
    </xf>
    <xf numFmtId="0" fontId="51" fillId="5" borderId="3" xfId="0" applyFont="1" applyFill="1" applyBorder="1" applyAlignment="1" applyProtection="1">
      <alignment horizontal="center"/>
    </xf>
    <xf numFmtId="0" fontId="51" fillId="5" borderId="4" xfId="0" applyFont="1" applyFill="1" applyBorder="1" applyAlignment="1" applyProtection="1">
      <alignment horizontal="center"/>
    </xf>
    <xf numFmtId="3" fontId="53" fillId="5" borderId="36" xfId="0" applyNumberFormat="1" applyFont="1" applyFill="1" applyBorder="1" applyAlignment="1" applyProtection="1">
      <alignment horizontal="center" wrapText="1"/>
    </xf>
    <xf numFmtId="3" fontId="53" fillId="5" borderId="133" xfId="0" applyNumberFormat="1" applyFont="1" applyFill="1" applyBorder="1" applyAlignment="1" applyProtection="1">
      <alignment horizontal="center" wrapText="1"/>
    </xf>
    <xf numFmtId="3" fontId="53" fillId="5" borderId="33" xfId="34" applyNumberFormat="1" applyFont="1" applyFill="1" applyBorder="1" applyAlignment="1" applyProtection="1">
      <alignment horizontal="center" vertical="center" wrapText="1"/>
    </xf>
    <xf numFmtId="3" fontId="53" fillId="5" borderId="134" xfId="34" applyNumberFormat="1" applyFont="1" applyFill="1" applyBorder="1" applyAlignment="1" applyProtection="1">
      <alignment horizontal="center" vertical="center" wrapText="1"/>
    </xf>
    <xf numFmtId="3" fontId="53" fillId="5" borderId="36" xfId="34" applyNumberFormat="1" applyFont="1" applyFill="1" applyBorder="1" applyAlignment="1" applyProtection="1">
      <alignment horizontal="center" vertical="top" wrapText="1"/>
    </xf>
    <xf numFmtId="3" fontId="53" fillId="5" borderId="133" xfId="34" applyNumberFormat="1" applyFont="1" applyFill="1" applyBorder="1" applyAlignment="1" applyProtection="1">
      <alignment horizontal="center" vertical="top" wrapText="1"/>
    </xf>
    <xf numFmtId="3" fontId="53" fillId="5" borderId="33" xfId="34" applyNumberFormat="1" applyFont="1" applyFill="1" applyBorder="1" applyAlignment="1" applyProtection="1">
      <alignment horizontal="center" vertical="top" wrapText="1"/>
    </xf>
    <xf numFmtId="3" fontId="53" fillId="5" borderId="134" xfId="34" applyNumberFormat="1" applyFont="1" applyFill="1" applyBorder="1" applyAlignment="1" applyProtection="1">
      <alignment horizontal="center" vertical="top" wrapText="1"/>
    </xf>
    <xf numFmtId="3" fontId="53" fillId="5" borderId="140" xfId="34" applyNumberFormat="1" applyFont="1" applyFill="1" applyBorder="1" applyAlignment="1" applyProtection="1">
      <alignment horizontal="center" vertical="center" wrapText="1"/>
    </xf>
    <xf numFmtId="3" fontId="53" fillId="5" borderId="135" xfId="34" applyNumberFormat="1" applyFont="1" applyFill="1" applyBorder="1" applyAlignment="1" applyProtection="1">
      <alignment horizontal="center" vertical="center" wrapText="1"/>
    </xf>
    <xf numFmtId="3" fontId="53" fillId="5" borderId="33" xfId="0" applyNumberFormat="1" applyFont="1" applyFill="1" applyBorder="1" applyAlignment="1" applyProtection="1">
      <alignment horizontal="center" vertical="center" wrapText="1"/>
      <protection locked="0"/>
    </xf>
    <xf numFmtId="3" fontId="53" fillId="5" borderId="134" xfId="0" applyNumberFormat="1" applyFont="1" applyFill="1" applyBorder="1" applyAlignment="1" applyProtection="1">
      <alignment horizontal="center" vertical="center" wrapText="1"/>
      <protection locked="0"/>
    </xf>
    <xf numFmtId="3" fontId="53" fillId="5" borderId="14" xfId="0" applyNumberFormat="1" applyFont="1" applyFill="1" applyBorder="1" applyAlignment="1" applyProtection="1">
      <alignment horizontal="center" vertical="center" wrapText="1"/>
      <protection locked="0"/>
    </xf>
    <xf numFmtId="3" fontId="53" fillId="5" borderId="5" xfId="0" applyNumberFormat="1" applyFont="1" applyFill="1" applyBorder="1" applyAlignment="1" applyProtection="1">
      <alignment horizontal="center" vertical="center" wrapText="1"/>
      <protection locked="0"/>
    </xf>
    <xf numFmtId="3" fontId="53" fillId="5" borderId="133" xfId="0" applyNumberFormat="1" applyFont="1" applyFill="1" applyBorder="1" applyAlignment="1" applyProtection="1">
      <alignment horizontal="left" vertical="center" wrapText="1"/>
    </xf>
    <xf numFmtId="0" fontId="79" fillId="0" borderId="193" xfId="113" applyFont="1" applyBorder="1" applyAlignment="1">
      <alignment horizontal="center" vertical="center"/>
    </xf>
    <xf numFmtId="0" fontId="79" fillId="0" borderId="194" xfId="113" applyFont="1" applyBorder="1" applyAlignment="1">
      <alignment horizontal="center" vertical="center"/>
    </xf>
    <xf numFmtId="0" fontId="79" fillId="0" borderId="198" xfId="113" applyFont="1" applyBorder="1" applyAlignment="1">
      <alignment horizontal="center" vertical="center"/>
    </xf>
    <xf numFmtId="0" fontId="79" fillId="0" borderId="0" xfId="113" applyFont="1" applyBorder="1" applyAlignment="1">
      <alignment horizontal="center" vertical="center"/>
    </xf>
    <xf numFmtId="0" fontId="79" fillId="0" borderId="200" xfId="113" applyFont="1" applyBorder="1" applyAlignment="1">
      <alignment horizontal="center" vertical="center"/>
    </xf>
    <xf numFmtId="0" fontId="79" fillId="0" borderId="175" xfId="113" applyFont="1" applyBorder="1" applyAlignment="1">
      <alignment horizontal="center" vertical="center"/>
    </xf>
    <xf numFmtId="0" fontId="80" fillId="0" borderId="195" xfId="113" applyFont="1" applyBorder="1" applyAlignment="1">
      <alignment horizontal="center" vertical="center"/>
    </xf>
    <xf numFmtId="0" fontId="80" fillId="0" borderId="196" xfId="113" applyFont="1" applyBorder="1" applyAlignment="1">
      <alignment horizontal="center" vertical="center"/>
    </xf>
    <xf numFmtId="0" fontId="80" fillId="0" borderId="178" xfId="113" applyFont="1" applyBorder="1" applyAlignment="1">
      <alignment horizontal="center" vertical="center"/>
    </xf>
    <xf numFmtId="0" fontId="80" fillId="0" borderId="179" xfId="113" applyFont="1" applyBorder="1" applyAlignment="1">
      <alignment horizontal="center" vertical="center"/>
    </xf>
    <xf numFmtId="0" fontId="80" fillId="0" borderId="176" xfId="113" applyFont="1" applyBorder="1" applyAlignment="1">
      <alignment horizontal="center" vertical="center"/>
    </xf>
    <xf numFmtId="0" fontId="80" fillId="0" borderId="177" xfId="113" applyFont="1" applyBorder="1" applyAlignment="1">
      <alignment horizontal="center" vertical="center"/>
    </xf>
    <xf numFmtId="0" fontId="0" fillId="0" borderId="6" xfId="0" applyBorder="1" applyAlignment="1" applyProtection="1">
      <alignment horizontal="center" vertical="center" wrapText="1"/>
    </xf>
    <xf numFmtId="0" fontId="0" fillId="0" borderId="41" xfId="0" applyBorder="1" applyAlignment="1" applyProtection="1">
      <alignment horizontal="center" vertical="center" wrapText="1"/>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31" xfId="0" applyFill="1" applyBorder="1" applyAlignment="1" applyProtection="1">
      <alignment horizontal="left" wrapText="1"/>
    </xf>
    <xf numFmtId="0" fontId="0" fillId="0" borderId="37" xfId="0" applyFill="1" applyBorder="1" applyAlignment="1" applyProtection="1">
      <alignment horizontal="left" wrapText="1"/>
    </xf>
    <xf numFmtId="0" fontId="0" fillId="0" borderId="38" xfId="0" applyFill="1" applyBorder="1" applyAlignment="1" applyProtection="1">
      <alignment horizontal="left" wrapText="1"/>
    </xf>
    <xf numFmtId="165" fontId="0" fillId="3" borderId="39" xfId="2" applyNumberFormat="1" applyFont="1" applyFill="1" applyBorder="1" applyAlignment="1" applyProtection="1">
      <alignment horizontal="center" vertical="center" wrapText="1"/>
      <protection locked="0"/>
    </xf>
    <xf numFmtId="165" fontId="0" fillId="3" borderId="40" xfId="2" applyNumberFormat="1" applyFont="1" applyFill="1" applyBorder="1" applyAlignment="1" applyProtection="1">
      <alignment horizontal="center" vertical="center" wrapText="1"/>
      <protection locked="0"/>
    </xf>
    <xf numFmtId="165" fontId="0" fillId="3" borderId="41" xfId="2" applyNumberFormat="1" applyFont="1" applyFill="1" applyBorder="1" applyAlignment="1" applyProtection="1">
      <alignment horizontal="center" vertical="center" wrapText="1"/>
      <protection locked="0"/>
    </xf>
    <xf numFmtId="165" fontId="0" fillId="0" borderId="42" xfId="2" applyNumberFormat="1" applyFont="1" applyBorder="1" applyAlignment="1" applyProtection="1">
      <alignment horizontal="center" vertical="center" wrapText="1"/>
    </xf>
    <xf numFmtId="165" fontId="0" fillId="0" borderId="43" xfId="2" applyNumberFormat="1" applyFont="1" applyBorder="1" applyAlignment="1" applyProtection="1">
      <alignment horizontal="center" vertical="center" wrapText="1"/>
    </xf>
    <xf numFmtId="165" fontId="0" fillId="0" borderId="44" xfId="2" applyNumberFormat="1" applyFont="1" applyBorder="1" applyAlignment="1" applyProtection="1">
      <alignment horizontal="center" vertical="center" wrapText="1"/>
    </xf>
    <xf numFmtId="0" fontId="0" fillId="0" borderId="14" xfId="0" applyBorder="1" applyAlignment="1" applyProtection="1">
      <alignment horizontal="left" wrapText="1"/>
    </xf>
    <xf numFmtId="165" fontId="0" fillId="3" borderId="6" xfId="2" applyNumberFormat="1" applyFont="1" applyFill="1" applyBorder="1" applyAlignment="1" applyProtection="1">
      <alignment horizontal="center" vertical="center" wrapText="1"/>
      <protection locked="0"/>
    </xf>
    <xf numFmtId="165" fontId="0" fillId="0" borderId="64" xfId="2" applyNumberFormat="1" applyFont="1" applyBorder="1" applyAlignment="1" applyProtection="1">
      <alignment horizontal="center" vertical="center"/>
    </xf>
    <xf numFmtId="165" fontId="0" fillId="0" borderId="44" xfId="2" applyNumberFormat="1" applyFont="1" applyBorder="1" applyAlignment="1" applyProtection="1">
      <alignment horizontal="center" vertical="center"/>
    </xf>
    <xf numFmtId="0" fontId="5" fillId="21" borderId="7" xfId="0" applyFont="1" applyFill="1" applyBorder="1" applyAlignment="1" applyProtection="1">
      <alignment horizontal="center" vertical="center"/>
      <protection locked="0"/>
    </xf>
    <xf numFmtId="0" fontId="5" fillId="21" borderId="15" xfId="0" applyFont="1" applyFill="1" applyBorder="1" applyAlignment="1" applyProtection="1">
      <alignment horizontal="center" vertical="center"/>
      <protection locked="0"/>
    </xf>
    <xf numFmtId="0" fontId="77" fillId="28" borderId="2" xfId="0" applyFont="1" applyFill="1" applyBorder="1" applyAlignment="1" applyProtection="1">
      <alignment horizontal="center"/>
    </xf>
    <xf numFmtId="0" fontId="77" fillId="28" borderId="3" xfId="0" applyFont="1" applyFill="1" applyBorder="1" applyAlignment="1" applyProtection="1">
      <alignment horizontal="center"/>
    </xf>
    <xf numFmtId="0" fontId="77" fillId="28" borderId="4" xfId="0" applyFont="1" applyFill="1" applyBorder="1" applyAlignment="1" applyProtection="1">
      <alignment horizontal="center"/>
    </xf>
    <xf numFmtId="0" fontId="17" fillId="0" borderId="17" xfId="0" applyFont="1" applyFill="1" applyBorder="1" applyAlignment="1" applyProtection="1">
      <alignment horizontal="center" vertical="top" wrapText="1"/>
    </xf>
    <xf numFmtId="0" fontId="17" fillId="0" borderId="128" xfId="0" applyFont="1" applyFill="1" applyBorder="1" applyAlignment="1" applyProtection="1">
      <alignment horizontal="center" vertical="top" wrapText="1"/>
    </xf>
    <xf numFmtId="0" fontId="4" fillId="0" borderId="16" xfId="0" applyFont="1" applyFill="1" applyBorder="1" applyAlignment="1" applyProtection="1">
      <alignment horizontal="center" vertical="top" wrapText="1"/>
    </xf>
    <xf numFmtId="0" fontId="4" fillId="0" borderId="38" xfId="0" applyFont="1" applyFill="1" applyBorder="1" applyAlignment="1" applyProtection="1">
      <alignment horizontal="center" vertical="top" wrapText="1"/>
    </xf>
    <xf numFmtId="0" fontId="17" fillId="0" borderId="64" xfId="0" applyFont="1" applyFill="1" applyBorder="1" applyAlignment="1" applyProtection="1">
      <alignment horizontal="center" vertical="top" wrapText="1"/>
    </xf>
    <xf numFmtId="0" fontId="17" fillId="0" borderId="44" xfId="0" applyFont="1" applyFill="1" applyBorder="1" applyAlignment="1" applyProtection="1">
      <alignment horizontal="center" vertical="top" wrapText="1"/>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165" fontId="4" fillId="3" borderId="6" xfId="2" applyNumberFormat="1" applyFont="1" applyFill="1" applyBorder="1" applyAlignment="1" applyProtection="1">
      <alignment horizontal="center" vertical="center" wrapText="1"/>
      <protection locked="0"/>
    </xf>
    <xf numFmtId="165" fontId="4" fillId="3" borderId="41" xfId="2" applyNumberFormat="1" applyFont="1" applyFill="1" applyBorder="1" applyAlignment="1" applyProtection="1">
      <alignment horizontal="center" vertical="center" wrapText="1"/>
      <protection locked="0"/>
    </xf>
    <xf numFmtId="42" fontId="5" fillId="8" borderId="64" xfId="5" applyFont="1" applyFill="1" applyBorder="1" applyAlignment="1" applyProtection="1">
      <alignment horizontal="center" vertical="center" wrapText="1"/>
    </xf>
    <xf numFmtId="42" fontId="5" fillId="8" borderId="44" xfId="5" applyFont="1" applyFill="1" applyBorder="1" applyAlignment="1" applyProtection="1">
      <alignment horizontal="center" vertical="center" wrapText="1"/>
    </xf>
    <xf numFmtId="165" fontId="5" fillId="8" borderId="6" xfId="2" applyNumberFormat="1" applyFont="1" applyFill="1" applyBorder="1" applyAlignment="1" applyProtection="1">
      <alignment horizontal="center" vertical="center" wrapText="1"/>
    </xf>
    <xf numFmtId="165" fontId="5" fillId="8" borderId="41" xfId="2" applyNumberFormat="1" applyFont="1" applyFill="1" applyBorder="1" applyAlignment="1" applyProtection="1">
      <alignment horizontal="center" vertical="center" wrapText="1"/>
    </xf>
    <xf numFmtId="0" fontId="0" fillId="0" borderId="16" xfId="0" applyFont="1" applyFill="1" applyBorder="1" applyAlignment="1" applyProtection="1">
      <alignment horizontal="center" vertical="top" wrapText="1"/>
    </xf>
    <xf numFmtId="0" fontId="0" fillId="0" borderId="38" xfId="0" applyFont="1" applyFill="1" applyBorder="1" applyAlignment="1" applyProtection="1">
      <alignment horizontal="center" vertical="top" wrapText="1"/>
    </xf>
    <xf numFmtId="0" fontId="5" fillId="17" borderId="2" xfId="0" applyFont="1" applyFill="1" applyBorder="1" applyAlignment="1" applyProtection="1">
      <alignment horizontal="center" vertical="top" wrapText="1"/>
    </xf>
    <xf numFmtId="0" fontId="5" fillId="17" borderId="3" xfId="0" applyFont="1" applyFill="1" applyBorder="1" applyAlignment="1" applyProtection="1">
      <alignment horizontal="center" vertical="top" wrapText="1"/>
    </xf>
    <xf numFmtId="0" fontId="5" fillId="17" borderId="4" xfId="0" applyFont="1" applyFill="1" applyBorder="1" applyAlignment="1" applyProtection="1">
      <alignment horizontal="center" vertical="top" wrapText="1"/>
    </xf>
    <xf numFmtId="0" fontId="5" fillId="0" borderId="68"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78" xfId="0" applyFont="1" applyFill="1" applyBorder="1" applyAlignment="1">
      <alignment horizontal="left" vertical="top" wrapText="1"/>
    </xf>
    <xf numFmtId="165" fontId="4" fillId="0" borderId="46" xfId="2" applyNumberFormat="1" applyFont="1" applyFill="1" applyBorder="1" applyAlignment="1">
      <alignment horizontal="center" vertical="top" wrapText="1"/>
    </xf>
    <xf numFmtId="165" fontId="4" fillId="0" borderId="59" xfId="2" applyNumberFormat="1" applyFont="1" applyFill="1" applyBorder="1" applyAlignment="1">
      <alignment horizontal="center" vertical="top" wrapText="1"/>
    </xf>
    <xf numFmtId="165" fontId="4" fillId="0" borderId="75" xfId="2" applyNumberFormat="1" applyFont="1" applyFill="1" applyBorder="1" applyAlignment="1">
      <alignment horizontal="center" vertical="top" wrapText="1"/>
    </xf>
    <xf numFmtId="165" fontId="4" fillId="0" borderId="80" xfId="2" applyNumberFormat="1" applyFont="1" applyFill="1" applyBorder="1" applyAlignment="1">
      <alignment horizontal="center" vertical="top" wrapText="1"/>
    </xf>
    <xf numFmtId="0" fontId="17" fillId="0" borderId="19"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84" xfId="0" applyFont="1" applyBorder="1" applyAlignment="1">
      <alignment horizontal="center" vertical="center" wrapText="1"/>
    </xf>
    <xf numFmtId="165" fontId="4" fillId="0" borderId="57" xfId="2" applyNumberFormat="1" applyFont="1" applyFill="1" applyBorder="1" applyAlignment="1">
      <alignment horizontal="center" vertical="top" wrapText="1"/>
    </xf>
    <xf numFmtId="165" fontId="4" fillId="0" borderId="58" xfId="2" applyNumberFormat="1" applyFont="1" applyFill="1" applyBorder="1" applyAlignment="1">
      <alignment horizontal="center" vertical="top" wrapText="1"/>
    </xf>
    <xf numFmtId="0" fontId="5" fillId="0" borderId="53"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73" xfId="0" applyFont="1" applyFill="1" applyBorder="1" applyAlignment="1">
      <alignment horizontal="left" vertical="top" wrapText="1"/>
    </xf>
    <xf numFmtId="0" fontId="5" fillId="0" borderId="47" xfId="0" applyFont="1" applyFill="1" applyBorder="1" applyAlignment="1">
      <alignment horizontal="left" vertical="top" wrapText="1"/>
    </xf>
    <xf numFmtId="0" fontId="2" fillId="19" borderId="2" xfId="0" applyFont="1" applyFill="1" applyBorder="1" applyAlignment="1">
      <alignment horizontal="center" wrapText="1"/>
    </xf>
    <xf numFmtId="0" fontId="2" fillId="19" borderId="3" xfId="0" applyFont="1" applyFill="1" applyBorder="1" applyAlignment="1">
      <alignment horizontal="center" wrapText="1"/>
    </xf>
    <xf numFmtId="0" fontId="2" fillId="19" borderId="4" xfId="0" applyFont="1" applyFill="1" applyBorder="1" applyAlignment="1">
      <alignment horizontal="center" wrapText="1"/>
    </xf>
    <xf numFmtId="0" fontId="0" fillId="11" borderId="0" xfId="0" applyFont="1" applyFill="1" applyBorder="1" applyAlignment="1">
      <alignment horizontal="left" vertical="top" wrapText="1"/>
    </xf>
    <xf numFmtId="165" fontId="5" fillId="22" borderId="2" xfId="2" applyNumberFormat="1" applyFont="1" applyFill="1" applyBorder="1" applyAlignment="1">
      <alignment horizontal="center" vertical="center" wrapText="1"/>
    </xf>
    <xf numFmtId="165" fontId="5" fillId="22" borderId="4" xfId="2" applyNumberFormat="1"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65" fontId="5" fillId="17" borderId="46" xfId="2" applyNumberFormat="1" applyFont="1" applyFill="1" applyBorder="1" applyAlignment="1">
      <alignment horizontal="center" vertical="center" wrapText="1"/>
    </xf>
    <xf numFmtId="165" fontId="5" fillId="17" borderId="47" xfId="2" applyNumberFormat="1" applyFont="1" applyFill="1" applyBorder="1" applyAlignment="1">
      <alignment horizontal="center" vertical="center" wrapText="1"/>
    </xf>
    <xf numFmtId="0" fontId="0" fillId="11" borderId="0" xfId="0" applyFont="1" applyFill="1" applyBorder="1" applyAlignment="1">
      <alignment horizontal="left" wrapText="1"/>
    </xf>
    <xf numFmtId="165" fontId="5" fillId="12" borderId="75" xfId="2" applyNumberFormat="1" applyFont="1" applyFill="1" applyBorder="1" applyAlignment="1">
      <alignment horizontal="center" vertical="center" wrapText="1"/>
    </xf>
    <xf numFmtId="165" fontId="5" fillId="12" borderId="78" xfId="2" applyNumberFormat="1" applyFont="1" applyFill="1" applyBorder="1" applyAlignment="1">
      <alignment horizontal="center" vertical="center" wrapText="1"/>
    </xf>
    <xf numFmtId="0" fontId="78" fillId="0" borderId="7" xfId="0" applyFont="1" applyBorder="1" applyAlignment="1" applyProtection="1">
      <alignment horizontal="left" wrapText="1"/>
    </xf>
    <xf numFmtId="0" fontId="78" fillId="0" borderId="133" xfId="0" applyFont="1" applyBorder="1" applyAlignment="1" applyProtection="1">
      <alignment horizontal="left" wrapText="1"/>
    </xf>
    <xf numFmtId="0" fontId="74" fillId="0" borderId="144" xfId="0" applyFont="1" applyFill="1" applyBorder="1" applyAlignment="1" applyProtection="1">
      <alignment horizontal="center"/>
    </xf>
    <xf numFmtId="0" fontId="74" fillId="0" borderId="163" xfId="0" applyFont="1" applyFill="1" applyBorder="1" applyAlignment="1" applyProtection="1">
      <alignment horizontal="center"/>
    </xf>
    <xf numFmtId="0" fontId="53" fillId="0" borderId="11" xfId="0" applyFont="1" applyBorder="1" applyAlignment="1" applyProtection="1">
      <alignment horizontal="left" vertical="center" wrapText="1"/>
    </xf>
    <xf numFmtId="0" fontId="53" fillId="0" borderId="20" xfId="0" applyFont="1" applyBorder="1" applyAlignment="1" applyProtection="1">
      <alignment horizontal="left" vertical="center" wrapText="1"/>
    </xf>
    <xf numFmtId="0" fontId="53" fillId="0" borderId="21" xfId="0" applyFont="1" applyBorder="1" applyAlignment="1" applyProtection="1">
      <alignment horizontal="left" vertical="center" wrapText="1"/>
    </xf>
    <xf numFmtId="0" fontId="53" fillId="0" borderId="158" xfId="0" applyFont="1" applyBorder="1" applyAlignment="1" applyProtection="1">
      <alignment horizontal="left" vertical="center" wrapText="1"/>
    </xf>
    <xf numFmtId="0" fontId="53" fillId="0" borderId="157" xfId="0" applyFont="1" applyBorder="1" applyAlignment="1" applyProtection="1">
      <alignment horizontal="left" vertical="center" wrapText="1"/>
    </xf>
    <xf numFmtId="0" fontId="53" fillId="0" borderId="159" xfId="0" applyFont="1" applyBorder="1" applyAlignment="1" applyProtection="1">
      <alignment horizontal="left" vertical="center" wrapText="1"/>
    </xf>
    <xf numFmtId="0" fontId="53" fillId="0" borderId="160" xfId="0" applyFont="1" applyBorder="1" applyAlignment="1" applyProtection="1">
      <alignment horizontal="left" vertical="center" wrapText="1"/>
    </xf>
    <xf numFmtId="0" fontId="53" fillId="0" borderId="161" xfId="0" applyFont="1" applyBorder="1" applyAlignment="1" applyProtection="1">
      <alignment horizontal="left" vertical="center" wrapText="1"/>
    </xf>
    <xf numFmtId="0" fontId="53" fillId="0" borderId="162" xfId="0" applyFont="1" applyBorder="1" applyAlignment="1" applyProtection="1">
      <alignment horizontal="left" vertical="center" wrapText="1"/>
    </xf>
    <xf numFmtId="0" fontId="73" fillId="8" borderId="144" xfId="0" applyFont="1" applyFill="1" applyBorder="1" applyAlignment="1" applyProtection="1">
      <alignment horizontal="center" vertical="center" textRotation="90"/>
    </xf>
    <xf numFmtId="0" fontId="53" fillId="8" borderId="145" xfId="0" applyFont="1" applyFill="1" applyBorder="1" applyAlignment="1" applyProtection="1">
      <alignment horizontal="center" vertical="center" textRotation="90"/>
    </xf>
    <xf numFmtId="0" fontId="53" fillId="8" borderId="146" xfId="0" applyFont="1" applyFill="1" applyBorder="1" applyAlignment="1" applyProtection="1">
      <alignment horizontal="center" vertical="center" textRotation="90"/>
    </xf>
    <xf numFmtId="0" fontId="53" fillId="0" borderId="143" xfId="0" applyFont="1" applyFill="1" applyBorder="1" applyAlignment="1" applyProtection="1">
      <alignment horizontal="center"/>
    </xf>
    <xf numFmtId="0" fontId="53" fillId="0" borderId="148" xfId="0" applyFont="1" applyFill="1" applyBorder="1" applyAlignment="1" applyProtection="1">
      <alignment horizontal="center"/>
    </xf>
    <xf numFmtId="0" fontId="78" fillId="0" borderId="41" xfId="0" applyFont="1" applyBorder="1" applyAlignment="1" applyProtection="1">
      <alignment horizontal="left"/>
    </xf>
    <xf numFmtId="0" fontId="77" fillId="9" borderId="2" xfId="0" applyFont="1" applyFill="1" applyBorder="1" applyAlignment="1" applyProtection="1">
      <alignment horizontal="center"/>
    </xf>
    <xf numFmtId="0" fontId="77" fillId="9" borderId="3" xfId="0" applyFont="1" applyFill="1" applyBorder="1" applyAlignment="1" applyProtection="1">
      <alignment horizontal="center"/>
    </xf>
    <xf numFmtId="0" fontId="77" fillId="9" borderId="4" xfId="0" applyFont="1" applyFill="1" applyBorder="1" applyAlignment="1" applyProtection="1">
      <alignment horizontal="center"/>
    </xf>
    <xf numFmtId="0" fontId="78" fillId="0" borderId="7" xfId="0" applyFont="1" applyBorder="1" applyAlignment="1" applyProtection="1">
      <alignment horizontal="left"/>
    </xf>
    <xf numFmtId="0" fontId="78" fillId="0" borderId="133" xfId="0" applyFont="1" applyBorder="1" applyAlignment="1" applyProtection="1">
      <alignment horizontal="left"/>
    </xf>
    <xf numFmtId="0" fontId="33" fillId="0" borderId="85" xfId="0" applyFont="1" applyBorder="1" applyAlignment="1">
      <alignment horizontal="center" wrapText="1"/>
    </xf>
    <xf numFmtId="0" fontId="33" fillId="0" borderId="86" xfId="0" applyFont="1" applyBorder="1" applyAlignment="1">
      <alignment horizontal="center" wrapText="1"/>
    </xf>
    <xf numFmtId="0" fontId="33" fillId="0" borderId="87" xfId="0" applyFont="1" applyBorder="1" applyAlignment="1">
      <alignment horizontal="center" wrapText="1"/>
    </xf>
    <xf numFmtId="0" fontId="33" fillId="0" borderId="88" xfId="0" applyFont="1" applyBorder="1" applyAlignment="1">
      <alignment horizontal="center" wrapText="1"/>
    </xf>
    <xf numFmtId="0" fontId="33" fillId="0" borderId="0" xfId="0" applyFont="1" applyBorder="1" applyAlignment="1">
      <alignment horizontal="center" wrapText="1"/>
    </xf>
    <xf numFmtId="0" fontId="33" fillId="0" borderId="89" xfId="0" applyFont="1" applyBorder="1" applyAlignment="1">
      <alignment horizontal="center" wrapText="1"/>
    </xf>
    <xf numFmtId="0" fontId="33" fillId="0" borderId="90" xfId="0" applyFont="1" applyBorder="1" applyAlignment="1">
      <alignment horizontal="center" wrapText="1"/>
    </xf>
    <xf numFmtId="0" fontId="33" fillId="0" borderId="91" xfId="0" applyFont="1" applyBorder="1" applyAlignment="1">
      <alignment horizontal="center" wrapText="1"/>
    </xf>
    <xf numFmtId="0" fontId="33" fillId="0" borderId="92" xfId="0" applyFont="1" applyBorder="1" applyAlignment="1">
      <alignment horizontal="center" wrapText="1"/>
    </xf>
    <xf numFmtId="0" fontId="34" fillId="13" borderId="110" xfId="0" applyFont="1" applyFill="1" applyBorder="1" applyAlignment="1">
      <alignment horizontal="center" vertical="center" wrapText="1"/>
    </xf>
    <xf numFmtId="0" fontId="34" fillId="13" borderId="94" xfId="0" applyFont="1" applyFill="1" applyBorder="1" applyAlignment="1">
      <alignment horizontal="center" vertical="center" wrapText="1"/>
    </xf>
    <xf numFmtId="0" fontId="34" fillId="13" borderId="95" xfId="0" applyFont="1" applyFill="1" applyBorder="1" applyAlignment="1">
      <alignment horizontal="center" vertical="center" wrapText="1"/>
    </xf>
    <xf numFmtId="0" fontId="34" fillId="13" borderId="88" xfId="0" applyFont="1" applyFill="1" applyBorder="1" applyAlignment="1">
      <alignment horizontal="center" vertical="center" wrapText="1"/>
    </xf>
    <xf numFmtId="0" fontId="34" fillId="13" borderId="0" xfId="0" applyFont="1" applyFill="1" applyBorder="1" applyAlignment="1">
      <alignment horizontal="center" vertical="center" wrapText="1"/>
    </xf>
    <xf numFmtId="0" fontId="34" fillId="13" borderId="96" xfId="0" applyFont="1" applyFill="1" applyBorder="1" applyAlignment="1">
      <alignment horizontal="center" vertical="center" wrapText="1"/>
    </xf>
    <xf numFmtId="0" fontId="34" fillId="13" borderId="108" xfId="0" applyFont="1" applyFill="1" applyBorder="1" applyAlignment="1">
      <alignment horizontal="center" vertical="center" wrapText="1"/>
    </xf>
    <xf numFmtId="0" fontId="34" fillId="13" borderId="97" xfId="0" applyFont="1" applyFill="1" applyBorder="1" applyAlignment="1">
      <alignment horizontal="center" vertical="center" wrapText="1"/>
    </xf>
    <xf numFmtId="0" fontId="34" fillId="13" borderId="98" xfId="0" applyFont="1" applyFill="1" applyBorder="1" applyAlignment="1">
      <alignment horizontal="center" vertical="center" wrapText="1"/>
    </xf>
    <xf numFmtId="0" fontId="71" fillId="14" borderId="111" xfId="0" applyFont="1" applyFill="1" applyBorder="1" applyAlignment="1">
      <alignment horizontal="center" vertical="center" wrapText="1"/>
    </xf>
    <xf numFmtId="0" fontId="71" fillId="14" borderId="94" xfId="0" applyFont="1" applyFill="1" applyBorder="1" applyAlignment="1">
      <alignment horizontal="center" vertical="center" wrapText="1"/>
    </xf>
    <xf numFmtId="0" fontId="71" fillId="14" borderId="95" xfId="0" applyFont="1" applyFill="1" applyBorder="1" applyAlignment="1">
      <alignment horizontal="center" vertical="center" wrapText="1"/>
    </xf>
    <xf numFmtId="0" fontId="71" fillId="14" borderId="107" xfId="0" applyFont="1" applyFill="1" applyBorder="1" applyAlignment="1">
      <alignment horizontal="center" vertical="center" wrapText="1"/>
    </xf>
    <xf numFmtId="0" fontId="71" fillId="14" borderId="0" xfId="0" applyFont="1" applyFill="1" applyBorder="1" applyAlignment="1">
      <alignment horizontal="center" vertical="center" wrapText="1"/>
    </xf>
    <xf numFmtId="0" fontId="71" fillId="14" borderId="96" xfId="0" applyFont="1" applyFill="1" applyBorder="1" applyAlignment="1">
      <alignment horizontal="center" vertical="center" wrapText="1"/>
    </xf>
    <xf numFmtId="0" fontId="71" fillId="14" borderId="105" xfId="0" applyFont="1" applyFill="1" applyBorder="1" applyAlignment="1">
      <alignment horizontal="center" vertical="center" wrapText="1"/>
    </xf>
    <xf numFmtId="0" fontId="71" fillId="14" borderId="97" xfId="0" applyFont="1" applyFill="1" applyBorder="1" applyAlignment="1">
      <alignment horizontal="center" vertical="center" wrapText="1"/>
    </xf>
    <xf numFmtId="0" fontId="71" fillId="14" borderId="98" xfId="0" applyFont="1" applyFill="1" applyBorder="1" applyAlignment="1">
      <alignment horizontal="center" vertical="center" wrapText="1"/>
    </xf>
    <xf numFmtId="0" fontId="35" fillId="15" borderId="107" xfId="0" applyFont="1" applyFill="1" applyBorder="1" applyAlignment="1">
      <alignment horizontal="center" vertical="center" wrapText="1"/>
    </xf>
    <xf numFmtId="0" fontId="35" fillId="15" borderId="0" xfId="0" applyFont="1" applyFill="1" applyAlignment="1">
      <alignment horizontal="center" vertical="center" wrapText="1"/>
    </xf>
    <xf numFmtId="0" fontId="35" fillId="15" borderId="99" xfId="0" applyFont="1" applyFill="1" applyBorder="1" applyAlignment="1">
      <alignment horizontal="center" vertical="center" wrapText="1"/>
    </xf>
    <xf numFmtId="0" fontId="62" fillId="14" borderId="112" xfId="0" applyFont="1" applyFill="1" applyBorder="1" applyAlignment="1">
      <alignment horizontal="center" wrapText="1"/>
    </xf>
    <xf numFmtId="0" fontId="62" fillId="14" borderId="113" xfId="0" applyFont="1" applyFill="1" applyBorder="1" applyAlignment="1">
      <alignment horizontal="center" wrapText="1"/>
    </xf>
    <xf numFmtId="0" fontId="62" fillId="14" borderId="114" xfId="0" applyFont="1" applyFill="1" applyBorder="1" applyAlignment="1">
      <alignment horizontal="center" wrapText="1"/>
    </xf>
    <xf numFmtId="0" fontId="37" fillId="13" borderId="115" xfId="0" applyFont="1" applyFill="1" applyBorder="1" applyAlignment="1">
      <alignment horizontal="center" vertical="center" wrapText="1"/>
    </xf>
    <xf numFmtId="0" fontId="37" fillId="13" borderId="116" xfId="0" applyFont="1" applyFill="1" applyBorder="1" applyAlignment="1">
      <alignment horizontal="center" vertical="center" wrapText="1"/>
    </xf>
    <xf numFmtId="0" fontId="37" fillId="13" borderId="117" xfId="0" applyFont="1" applyFill="1" applyBorder="1" applyAlignment="1">
      <alignment horizontal="center" vertical="center" wrapText="1"/>
    </xf>
    <xf numFmtId="0" fontId="38" fillId="14" borderId="108" xfId="0" applyFont="1" applyFill="1" applyBorder="1" applyAlignment="1">
      <alignment wrapText="1"/>
    </xf>
    <xf numFmtId="0" fontId="38" fillId="14" borderId="97" xfId="0" applyFont="1" applyFill="1" applyBorder="1" applyAlignment="1">
      <alignment wrapText="1"/>
    </xf>
    <xf numFmtId="0" fontId="38" fillId="14" borderId="100" xfId="0" applyFont="1" applyFill="1" applyBorder="1" applyAlignment="1">
      <alignment wrapText="1"/>
    </xf>
    <xf numFmtId="0" fontId="33" fillId="13" borderId="91" xfId="0" applyFont="1" applyFill="1" applyBorder="1" applyAlignment="1">
      <alignment wrapText="1"/>
    </xf>
    <xf numFmtId="0" fontId="33" fillId="13" borderId="101" xfId="0" applyFont="1" applyFill="1" applyBorder="1" applyAlignment="1">
      <alignment wrapText="1"/>
    </xf>
    <xf numFmtId="164" fontId="38" fillId="0" borderId="105" xfId="1" applyNumberFormat="1" applyFont="1" applyBorder="1" applyAlignment="1">
      <alignment wrapText="1"/>
    </xf>
    <xf numFmtId="164" fontId="38" fillId="0" borderId="97" xfId="1" applyNumberFormat="1" applyFont="1" applyBorder="1" applyAlignment="1">
      <alignment wrapText="1"/>
    </xf>
    <xf numFmtId="0" fontId="37" fillId="0" borderId="118" xfId="0" applyFont="1" applyBorder="1" applyAlignment="1">
      <alignment horizontal="center" vertical="center" textRotation="90" wrapText="1"/>
    </xf>
    <xf numFmtId="0" fontId="37" fillId="0" borderId="102" xfId="0" applyFont="1" applyBorder="1" applyAlignment="1">
      <alignment horizontal="center" vertical="center" textRotation="90" wrapText="1"/>
    </xf>
    <xf numFmtId="0" fontId="62" fillId="14" borderId="107" xfId="0" applyFont="1" applyFill="1" applyBorder="1" applyAlignment="1">
      <alignment vertical="center" wrapText="1"/>
    </xf>
    <xf numFmtId="0" fontId="62" fillId="14" borderId="0" xfId="0" applyFont="1" applyFill="1" applyAlignment="1">
      <alignment vertical="center" wrapText="1"/>
    </xf>
    <xf numFmtId="0" fontId="62" fillId="14" borderId="96" xfId="0" applyFont="1" applyFill="1" applyBorder="1" applyAlignment="1">
      <alignment vertical="center" wrapText="1"/>
    </xf>
    <xf numFmtId="0" fontId="62" fillId="14" borderId="111" xfId="0" applyFont="1" applyFill="1" applyBorder="1" applyAlignment="1">
      <alignment vertical="center" wrapText="1"/>
    </xf>
    <xf numFmtId="0" fontId="62" fillId="14" borderId="94" xfId="0" applyFont="1" applyFill="1" applyBorder="1" applyAlignment="1">
      <alignment vertical="center" wrapText="1"/>
    </xf>
    <xf numFmtId="0" fontId="62" fillId="14" borderId="86" xfId="0" applyFont="1" applyFill="1" applyBorder="1" applyAlignment="1">
      <alignment vertical="center" wrapText="1"/>
    </xf>
    <xf numFmtId="164" fontId="38" fillId="0" borderId="100" xfId="1" applyNumberFormat="1" applyFont="1" applyBorder="1" applyAlignment="1">
      <alignment wrapText="1"/>
    </xf>
    <xf numFmtId="0" fontId="39" fillId="14" borderId="107" xfId="0" applyFont="1" applyFill="1" applyBorder="1" applyAlignment="1">
      <alignment horizontal="center" vertical="center" wrapText="1"/>
    </xf>
    <xf numFmtId="0" fontId="39" fillId="14" borderId="98" xfId="0" applyFont="1" applyFill="1" applyBorder="1" applyAlignment="1">
      <alignment horizontal="center" vertical="center" wrapText="1"/>
    </xf>
    <xf numFmtId="0" fontId="39" fillId="14" borderId="119" xfId="0" applyFont="1" applyFill="1" applyBorder="1" applyAlignment="1">
      <alignment horizontal="left" vertical="center" wrapText="1"/>
    </xf>
    <xf numFmtId="0" fontId="39" fillId="14" borderId="120" xfId="0" applyFont="1" applyFill="1" applyBorder="1" applyAlignment="1">
      <alignment horizontal="left" vertical="center" wrapText="1"/>
    </xf>
    <xf numFmtId="0" fontId="39" fillId="14" borderId="93" xfId="0" applyFont="1" applyFill="1" applyBorder="1" applyAlignment="1">
      <alignment horizontal="left" vertical="center" wrapText="1"/>
    </xf>
    <xf numFmtId="0" fontId="39" fillId="13" borderId="119" xfId="0" applyFont="1" applyFill="1" applyBorder="1" applyAlignment="1">
      <alignment horizontal="center" vertical="center" wrapText="1"/>
    </xf>
    <xf numFmtId="0" fontId="39" fillId="13" borderId="93" xfId="0" applyFont="1" applyFill="1" applyBorder="1" applyAlignment="1">
      <alignment horizontal="center" vertical="center" wrapText="1"/>
    </xf>
    <xf numFmtId="0" fontId="39" fillId="14" borderId="119" xfId="0" applyFont="1" applyFill="1" applyBorder="1" applyAlignment="1">
      <alignment horizontal="right" vertical="center" wrapText="1"/>
    </xf>
    <xf numFmtId="0" fontId="39" fillId="14" borderId="120" xfId="0" applyFont="1" applyFill="1" applyBorder="1" applyAlignment="1">
      <alignment horizontal="right" vertical="center" wrapText="1"/>
    </xf>
    <xf numFmtId="0" fontId="39" fillId="14" borderId="93" xfId="0" applyFont="1" applyFill="1" applyBorder="1" applyAlignment="1">
      <alignment horizontal="right" vertical="center" wrapText="1"/>
    </xf>
    <xf numFmtId="0" fontId="38" fillId="13" borderId="119" xfId="0" applyFont="1" applyFill="1" applyBorder="1" applyAlignment="1">
      <alignment vertical="center" wrapText="1"/>
    </xf>
    <xf numFmtId="0" fontId="38" fillId="13" borderId="94" xfId="0" applyFont="1" applyFill="1" applyBorder="1" applyAlignment="1">
      <alignment vertical="center" wrapText="1"/>
    </xf>
    <xf numFmtId="0" fontId="38" fillId="13" borderId="95" xfId="0" applyFont="1" applyFill="1" applyBorder="1" applyAlignment="1">
      <alignment vertical="center" wrapText="1"/>
    </xf>
    <xf numFmtId="0" fontId="39" fillId="14" borderId="111" xfId="0" applyFont="1" applyFill="1" applyBorder="1" applyAlignment="1">
      <alignment horizontal="right" vertical="top" wrapText="1"/>
    </xf>
    <xf numFmtId="0" fontId="39" fillId="14" borderId="94" xfId="0" applyFont="1" applyFill="1" applyBorder="1" applyAlignment="1">
      <alignment horizontal="right" vertical="top" wrapText="1"/>
    </xf>
    <xf numFmtId="0" fontId="39" fillId="14" borderId="95" xfId="0" applyFont="1" applyFill="1" applyBorder="1" applyAlignment="1">
      <alignment horizontal="right" vertical="top" wrapText="1"/>
    </xf>
    <xf numFmtId="0" fontId="38" fillId="13" borderId="111" xfId="0" applyFont="1" applyFill="1" applyBorder="1" applyAlignment="1">
      <alignment vertical="center" wrapText="1"/>
    </xf>
    <xf numFmtId="0" fontId="62" fillId="14" borderId="111" xfId="0" applyFont="1" applyFill="1" applyBorder="1" applyAlignment="1">
      <alignment horizontal="right" vertical="center" wrapText="1"/>
    </xf>
    <xf numFmtId="0" fontId="62" fillId="14" borderId="94" xfId="0" applyFont="1" applyFill="1" applyBorder="1" applyAlignment="1">
      <alignment horizontal="right" vertical="center" wrapText="1"/>
    </xf>
    <xf numFmtId="0" fontId="66" fillId="13" borderId="97" xfId="0" applyFont="1" applyFill="1" applyBorder="1" applyAlignment="1">
      <alignment vertical="center" wrapText="1"/>
    </xf>
    <xf numFmtId="0" fontId="66" fillId="13" borderId="100" xfId="0" applyFont="1" applyFill="1" applyBorder="1" applyAlignment="1">
      <alignment vertical="center" wrapText="1"/>
    </xf>
    <xf numFmtId="164" fontId="69" fillId="13" borderId="180" xfId="1" applyNumberFormat="1" applyFont="1" applyFill="1" applyBorder="1" applyAlignment="1">
      <alignment horizontal="right" vertical="center" wrapText="1"/>
    </xf>
    <xf numFmtId="164" fontId="69" fillId="13" borderId="181" xfId="1" applyNumberFormat="1" applyFont="1" applyFill="1" applyBorder="1" applyAlignment="1">
      <alignment horizontal="right" vertical="center" wrapText="1"/>
    </xf>
    <xf numFmtId="164" fontId="69" fillId="13" borderId="182" xfId="1" applyNumberFormat="1" applyFont="1" applyFill="1" applyBorder="1" applyAlignment="1">
      <alignment horizontal="right" vertical="center" wrapText="1"/>
    </xf>
    <xf numFmtId="0" fontId="66" fillId="0" borderId="72" xfId="0" applyFont="1" applyBorder="1" applyAlignment="1">
      <alignment vertical="center" wrapText="1"/>
    </xf>
    <xf numFmtId="0" fontId="66" fillId="0" borderId="0" xfId="0" applyFont="1" applyBorder="1" applyAlignment="1">
      <alignment vertical="center" wrapText="1"/>
    </xf>
    <xf numFmtId="0" fontId="66" fillId="0" borderId="96" xfId="0" applyFont="1" applyBorder="1" applyAlignment="1">
      <alignment vertical="center" wrapText="1"/>
    </xf>
    <xf numFmtId="164" fontId="69" fillId="0" borderId="107" xfId="1" applyNumberFormat="1" applyFont="1" applyBorder="1" applyAlignment="1">
      <alignment vertical="center" wrapText="1"/>
    </xf>
    <xf numFmtId="164" fontId="69" fillId="0" borderId="0" xfId="1" applyNumberFormat="1" applyFont="1" applyBorder="1" applyAlignment="1">
      <alignment vertical="center" wrapText="1"/>
    </xf>
    <xf numFmtId="164" fontId="69" fillId="0" borderId="63" xfId="1" applyNumberFormat="1" applyFont="1" applyBorder="1" applyAlignment="1">
      <alignment vertical="center" wrapText="1"/>
    </xf>
    <xf numFmtId="0" fontId="37" fillId="13" borderId="106" xfId="0" applyFont="1" applyFill="1" applyBorder="1" applyAlignment="1">
      <alignment horizontal="center" vertical="center" textRotation="90" wrapText="1"/>
    </xf>
    <xf numFmtId="0" fontId="37" fillId="13" borderId="104" xfId="0" applyFont="1" applyFill="1" applyBorder="1" applyAlignment="1">
      <alignment horizontal="center" vertical="center" textRotation="90" wrapText="1"/>
    </xf>
    <xf numFmtId="0" fontId="67" fillId="14" borderId="111" xfId="0" applyFont="1" applyFill="1" applyBorder="1" applyAlignment="1">
      <alignment vertical="center" wrapText="1"/>
    </xf>
    <xf numFmtId="0" fontId="67" fillId="14" borderId="94" xfId="0" applyFont="1" applyFill="1" applyBorder="1" applyAlignment="1">
      <alignment vertical="center" wrapText="1"/>
    </xf>
    <xf numFmtId="164" fontId="70" fillId="14" borderId="0" xfId="1" applyNumberFormat="1" applyFont="1" applyFill="1" applyBorder="1" applyAlignment="1">
      <alignment horizontal="right" vertical="center" wrapText="1"/>
    </xf>
    <xf numFmtId="0" fontId="67" fillId="14" borderId="72" xfId="0" applyFont="1" applyFill="1" applyBorder="1" applyAlignment="1">
      <alignment vertical="center" wrapText="1"/>
    </xf>
    <xf numFmtId="0" fontId="67" fillId="14" borderId="0" xfId="0" applyFont="1" applyFill="1" applyBorder="1" applyAlignment="1">
      <alignment vertical="center" wrapText="1"/>
    </xf>
    <xf numFmtId="0" fontId="67" fillId="14" borderId="96" xfId="0" applyFont="1" applyFill="1" applyBorder="1" applyAlignment="1">
      <alignment vertical="center" wrapText="1"/>
    </xf>
    <xf numFmtId="164" fontId="70" fillId="14" borderId="107" xfId="1" applyNumberFormat="1" applyFont="1" applyFill="1" applyBorder="1" applyAlignment="1">
      <alignment vertical="center" wrapText="1"/>
    </xf>
    <xf numFmtId="164" fontId="70" fillId="14" borderId="0" xfId="1" applyNumberFormat="1" applyFont="1" applyFill="1" applyBorder="1" applyAlignment="1">
      <alignment vertical="center" wrapText="1"/>
    </xf>
    <xf numFmtId="164" fontId="70" fillId="14" borderId="63" xfId="1" applyNumberFormat="1" applyFont="1" applyFill="1" applyBorder="1" applyAlignment="1">
      <alignment vertical="center" wrapText="1"/>
    </xf>
    <xf numFmtId="0" fontId="67" fillId="13" borderId="107" xfId="0" applyFont="1" applyFill="1" applyBorder="1" applyAlignment="1">
      <alignment vertical="center" wrapText="1"/>
    </xf>
    <xf numFmtId="0" fontId="67" fillId="13" borderId="0" xfId="0" applyFont="1" applyFill="1" applyAlignment="1">
      <alignment vertical="center" wrapText="1"/>
    </xf>
    <xf numFmtId="0" fontId="67" fillId="13" borderId="0" xfId="0" applyFont="1" applyFill="1" applyBorder="1" applyAlignment="1">
      <alignment vertical="center" wrapText="1"/>
    </xf>
    <xf numFmtId="0" fontId="37" fillId="13" borderId="17" xfId="0" applyFont="1" applyFill="1" applyBorder="1" applyAlignment="1">
      <alignment horizontal="center" vertical="center" textRotation="90" wrapText="1"/>
    </xf>
    <xf numFmtId="0" fontId="37" fillId="13" borderId="34" xfId="0" applyFont="1" applyFill="1" applyBorder="1" applyAlignment="1">
      <alignment horizontal="center" vertical="center" textRotation="90" wrapText="1"/>
    </xf>
    <xf numFmtId="0" fontId="37" fillId="13" borderId="77" xfId="0" applyFont="1" applyFill="1" applyBorder="1" applyAlignment="1">
      <alignment horizontal="center" vertical="center" textRotation="90" wrapText="1"/>
    </xf>
    <xf numFmtId="0" fontId="67" fillId="13" borderId="94" xfId="0" applyFont="1" applyFill="1" applyBorder="1" applyAlignment="1">
      <alignment vertical="center" wrapText="1"/>
    </xf>
    <xf numFmtId="0" fontId="67" fillId="13" borderId="121" xfId="0" applyFont="1" applyFill="1" applyBorder="1" applyAlignment="1">
      <alignment vertical="center" wrapText="1"/>
    </xf>
    <xf numFmtId="164" fontId="68" fillId="13" borderId="111" xfId="1" applyNumberFormat="1" applyFont="1" applyFill="1" applyBorder="1" applyAlignment="1">
      <alignment horizontal="right" vertical="center" wrapText="1"/>
    </xf>
    <xf numFmtId="164" fontId="68" fillId="13" borderId="94" xfId="1" applyNumberFormat="1" applyFont="1" applyFill="1" applyBorder="1" applyAlignment="1">
      <alignment horizontal="right" vertical="center" wrapText="1"/>
    </xf>
    <xf numFmtId="164" fontId="68" fillId="13" borderId="95" xfId="1" applyNumberFormat="1" applyFont="1" applyFill="1" applyBorder="1" applyAlignment="1">
      <alignment horizontal="right" vertical="center" wrapText="1"/>
    </xf>
    <xf numFmtId="0" fontId="66" fillId="0" borderId="111" xfId="0" applyFont="1" applyBorder="1" applyAlignment="1">
      <alignment horizontal="center" vertical="center" textRotation="90" wrapText="1"/>
    </xf>
    <xf numFmtId="0" fontId="66" fillId="0" borderId="107" xfId="0" applyFont="1" applyBorder="1" applyAlignment="1">
      <alignment horizontal="center" vertical="center" textRotation="90" wrapText="1"/>
    </xf>
    <xf numFmtId="0" fontId="66" fillId="0" borderId="105" xfId="0" applyFont="1" applyBorder="1" applyAlignment="1">
      <alignment horizontal="center" vertical="center" textRotation="90" wrapText="1"/>
    </xf>
    <xf numFmtId="0" fontId="67" fillId="0" borderId="18" xfId="0" applyFont="1" applyBorder="1" applyAlignment="1">
      <alignment vertical="center" wrapText="1"/>
    </xf>
    <xf numFmtId="0" fontId="67" fillId="0" borderId="71" xfId="0" applyFont="1" applyBorder="1" applyAlignment="1">
      <alignment vertical="center" wrapText="1"/>
    </xf>
    <xf numFmtId="0" fontId="67" fillId="0" borderId="124" xfId="0" applyFont="1" applyBorder="1" applyAlignment="1">
      <alignment vertical="center" wrapText="1"/>
    </xf>
    <xf numFmtId="164" fontId="70" fillId="0" borderId="125" xfId="1" applyNumberFormat="1" applyFont="1" applyBorder="1" applyAlignment="1" applyProtection="1">
      <alignment vertical="center" wrapText="1"/>
    </xf>
    <xf numFmtId="164" fontId="70" fillId="0" borderId="71" xfId="1" applyNumberFormat="1" applyFont="1" applyBorder="1" applyAlignment="1" applyProtection="1">
      <alignment vertical="center" wrapText="1"/>
    </xf>
    <xf numFmtId="164" fontId="70" fillId="0" borderId="19" xfId="1" applyNumberFormat="1" applyFont="1" applyBorder="1" applyAlignment="1" applyProtection="1">
      <alignment vertical="center" wrapText="1"/>
    </xf>
    <xf numFmtId="0" fontId="67" fillId="14" borderId="0" xfId="0" applyFont="1" applyFill="1" applyAlignment="1">
      <alignment vertical="center" wrapText="1"/>
    </xf>
    <xf numFmtId="0" fontId="67" fillId="14" borderId="89" xfId="0" applyFont="1" applyFill="1" applyBorder="1" applyAlignment="1">
      <alignment vertical="center" wrapText="1"/>
    </xf>
    <xf numFmtId="164" fontId="68" fillId="14" borderId="107" xfId="1" applyNumberFormat="1" applyFont="1" applyFill="1" applyBorder="1" applyAlignment="1">
      <alignment horizontal="right" vertical="center" wrapText="1"/>
    </xf>
    <xf numFmtId="164" fontId="68" fillId="14" borderId="0" xfId="1" applyNumberFormat="1" applyFont="1" applyFill="1" applyAlignment="1">
      <alignment horizontal="right" vertical="center" wrapText="1"/>
    </xf>
    <xf numFmtId="164" fontId="68" fillId="14" borderId="96" xfId="1" applyNumberFormat="1" applyFont="1" applyFill="1" applyBorder="1" applyAlignment="1">
      <alignment horizontal="right" vertical="center" wrapText="1"/>
    </xf>
    <xf numFmtId="0" fontId="67" fillId="0" borderId="107" xfId="0" applyFont="1" applyBorder="1" applyAlignment="1">
      <alignment vertical="center" wrapText="1"/>
    </xf>
    <xf numFmtId="0" fontId="67" fillId="0" borderId="0" xfId="0" applyFont="1" applyAlignment="1">
      <alignment vertical="center" wrapText="1"/>
    </xf>
    <xf numFmtId="0" fontId="67" fillId="0" borderId="0" xfId="0" applyFont="1" applyBorder="1" applyAlignment="1">
      <alignment vertical="center" wrapText="1"/>
    </xf>
    <xf numFmtId="164" fontId="68" fillId="0" borderId="0" xfId="1" applyNumberFormat="1" applyFont="1" applyBorder="1" applyAlignment="1">
      <alignment horizontal="right" vertical="center" wrapText="1"/>
    </xf>
    <xf numFmtId="164" fontId="68" fillId="0" borderId="0" xfId="1" applyNumberFormat="1" applyFont="1" applyAlignment="1">
      <alignment horizontal="right" vertical="center" wrapText="1"/>
    </xf>
    <xf numFmtId="164" fontId="68" fillId="0" borderId="96" xfId="1" applyNumberFormat="1" applyFont="1" applyBorder="1" applyAlignment="1">
      <alignment horizontal="right" vertical="center" wrapText="1"/>
    </xf>
    <xf numFmtId="0" fontId="67" fillId="0" borderId="72" xfId="0" applyFont="1" applyBorder="1" applyAlignment="1">
      <alignment vertical="center" wrapText="1"/>
    </xf>
    <xf numFmtId="0" fontId="67" fillId="0" borderId="96" xfId="0" applyFont="1" applyBorder="1" applyAlignment="1">
      <alignment vertical="center" wrapText="1"/>
    </xf>
    <xf numFmtId="164" fontId="70" fillId="0" borderId="107" xfId="1" applyNumberFormat="1" applyFont="1" applyBorder="1" applyAlignment="1">
      <alignment vertical="center" wrapText="1"/>
    </xf>
    <xf numFmtId="164" fontId="70" fillId="0" borderId="0" xfId="1" applyNumberFormat="1" applyFont="1" applyBorder="1" applyAlignment="1">
      <alignment vertical="center" wrapText="1"/>
    </xf>
    <xf numFmtId="164" fontId="70" fillId="0" borderId="63" xfId="1" applyNumberFormat="1" applyFont="1" applyBorder="1" applyAlignment="1">
      <alignment vertical="center" wrapText="1"/>
    </xf>
    <xf numFmtId="0" fontId="66" fillId="14" borderId="107" xfId="0" applyFont="1" applyFill="1" applyBorder="1" applyAlignment="1">
      <alignment vertical="center" wrapText="1"/>
    </xf>
    <xf numFmtId="0" fontId="66" fillId="14" borderId="0" xfId="0" applyFont="1" applyFill="1" applyAlignment="1">
      <alignment vertical="center" wrapText="1"/>
    </xf>
    <xf numFmtId="0" fontId="66" fillId="14" borderId="0" xfId="0" applyFont="1" applyFill="1" applyBorder="1" applyAlignment="1">
      <alignment vertical="center" wrapText="1"/>
    </xf>
    <xf numFmtId="164" fontId="69" fillId="14" borderId="72" xfId="1" applyNumberFormat="1" applyFont="1" applyFill="1" applyBorder="1" applyAlignment="1">
      <alignment horizontal="right" vertical="center" wrapText="1"/>
    </xf>
    <xf numFmtId="164" fontId="69" fillId="14" borderId="0" xfId="1" applyNumberFormat="1" applyFont="1" applyFill="1" applyBorder="1" applyAlignment="1">
      <alignment horizontal="right" vertical="center" wrapText="1"/>
    </xf>
    <xf numFmtId="164" fontId="69" fillId="14" borderId="96" xfId="1" applyNumberFormat="1" applyFont="1" applyFill="1" applyBorder="1" applyAlignment="1">
      <alignment horizontal="right" vertical="center" wrapText="1"/>
    </xf>
    <xf numFmtId="0" fontId="66" fillId="14" borderId="82" xfId="0" applyFont="1" applyFill="1" applyBorder="1" applyAlignment="1">
      <alignment vertical="center" wrapText="1"/>
    </xf>
    <xf numFmtId="0" fontId="66" fillId="14" borderId="83" xfId="0" applyFont="1" applyFill="1" applyBorder="1" applyAlignment="1">
      <alignment vertical="center" wrapText="1"/>
    </xf>
    <xf numFmtId="0" fontId="66" fillId="14" borderId="126" xfId="0" applyFont="1" applyFill="1" applyBorder="1" applyAlignment="1">
      <alignment vertical="center" wrapText="1"/>
    </xf>
    <xf numFmtId="164" fontId="69" fillId="14" borderId="127" xfId="1" applyNumberFormat="1" applyFont="1" applyFill="1" applyBorder="1" applyAlignment="1">
      <alignment vertical="center" wrapText="1"/>
    </xf>
    <xf numFmtId="164" fontId="69" fillId="14" borderId="83" xfId="1" applyNumberFormat="1" applyFont="1" applyFill="1" applyBorder="1" applyAlignment="1">
      <alignment vertical="center" wrapText="1"/>
    </xf>
    <xf numFmtId="164" fontId="69" fillId="14" borderId="84" xfId="1" applyNumberFormat="1" applyFont="1" applyFill="1" applyBorder="1" applyAlignment="1">
      <alignment vertical="center" wrapText="1"/>
    </xf>
    <xf numFmtId="164" fontId="70" fillId="14" borderId="96" xfId="1" applyNumberFormat="1" applyFont="1" applyFill="1" applyBorder="1" applyAlignment="1">
      <alignment horizontal="right" vertical="center" wrapText="1"/>
    </xf>
    <xf numFmtId="164" fontId="69" fillId="14" borderId="0" xfId="1" applyNumberFormat="1" applyFont="1" applyFill="1" applyAlignment="1">
      <alignment horizontal="right" vertical="center" wrapText="1"/>
    </xf>
    <xf numFmtId="0" fontId="66" fillId="0" borderId="105" xfId="0" applyFont="1" applyBorder="1" applyAlignment="1">
      <alignment vertical="center" wrapText="1"/>
    </xf>
    <xf numFmtId="0" fontId="66" fillId="0" borderId="97" xfId="0" applyFont="1" applyBorder="1" applyAlignment="1">
      <alignment vertical="center" wrapText="1"/>
    </xf>
    <xf numFmtId="164" fontId="69" fillId="0" borderId="97" xfId="1" applyNumberFormat="1" applyFont="1" applyBorder="1" applyAlignment="1">
      <alignment horizontal="right" vertical="center" wrapText="1"/>
    </xf>
    <xf numFmtId="164" fontId="69" fillId="0" borderId="98" xfId="1" applyNumberFormat="1" applyFont="1" applyBorder="1" applyAlignment="1">
      <alignment horizontal="right" vertical="center" wrapText="1"/>
    </xf>
    <xf numFmtId="0" fontId="66" fillId="13" borderId="122" xfId="0" applyFont="1" applyFill="1" applyBorder="1" applyAlignment="1">
      <alignment horizontal="center" vertical="center" textRotation="90" wrapText="1"/>
    </xf>
    <xf numFmtId="0" fontId="66" fillId="13" borderId="104" xfId="0" applyFont="1" applyFill="1" applyBorder="1" applyAlignment="1">
      <alignment horizontal="center" vertical="center" textRotation="90" wrapText="1"/>
    </xf>
    <xf numFmtId="0" fontId="66" fillId="0" borderId="107" xfId="0" applyFont="1" applyBorder="1" applyAlignment="1">
      <alignment vertical="center" wrapText="1"/>
    </xf>
    <xf numFmtId="164" fontId="69" fillId="0" borderId="107" xfId="1" applyNumberFormat="1" applyFont="1" applyBorder="1" applyAlignment="1">
      <alignment wrapText="1"/>
    </xf>
    <xf numFmtId="164" fontId="69" fillId="0" borderId="0" xfId="1" applyNumberFormat="1" applyFont="1" applyBorder="1" applyAlignment="1">
      <alignment wrapText="1"/>
    </xf>
    <xf numFmtId="164" fontId="69" fillId="0" borderId="99" xfId="1" applyNumberFormat="1" applyFont="1" applyBorder="1" applyAlignment="1">
      <alignment wrapText="1"/>
    </xf>
    <xf numFmtId="0" fontId="37" fillId="0" borderId="122" xfId="0" applyFont="1" applyBorder="1" applyAlignment="1">
      <alignment horizontal="center" vertical="center" textRotation="90" wrapText="1"/>
    </xf>
    <xf numFmtId="0" fontId="37" fillId="0" borderId="106" xfId="0" applyFont="1" applyBorder="1" applyAlignment="1">
      <alignment horizontal="center" vertical="center" textRotation="90" wrapText="1"/>
    </xf>
    <xf numFmtId="0" fontId="37" fillId="0" borderId="104" xfId="0" applyFont="1" applyBorder="1" applyAlignment="1">
      <alignment horizontal="center" vertical="center" textRotation="90" wrapText="1"/>
    </xf>
    <xf numFmtId="0" fontId="67" fillId="14" borderId="95" xfId="0" applyFont="1" applyFill="1" applyBorder="1" applyAlignment="1">
      <alignment vertical="center" wrapText="1"/>
    </xf>
    <xf numFmtId="164" fontId="70" fillId="14" borderId="111" xfId="1" applyNumberFormat="1" applyFont="1" applyFill="1" applyBorder="1" applyAlignment="1">
      <alignment horizontal="right" vertical="center" wrapText="1"/>
    </xf>
    <xf numFmtId="164" fontId="70" fillId="14" borderId="94" xfId="1" applyNumberFormat="1" applyFont="1" applyFill="1" applyBorder="1" applyAlignment="1">
      <alignment horizontal="right" vertical="center" wrapText="1"/>
    </xf>
    <xf numFmtId="164" fontId="70" fillId="14" borderId="95" xfId="1" applyNumberFormat="1" applyFont="1" applyFill="1" applyBorder="1" applyAlignment="1">
      <alignment horizontal="right" vertical="center" wrapText="1"/>
    </xf>
    <xf numFmtId="0" fontId="67" fillId="14" borderId="105" xfId="0" applyFont="1" applyFill="1" applyBorder="1" applyAlignment="1">
      <alignment vertical="center" wrapText="1"/>
    </xf>
    <xf numFmtId="0" fontId="67" fillId="14" borderId="97" xfId="0" applyFont="1" applyFill="1" applyBorder="1" applyAlignment="1">
      <alignment vertical="center" wrapText="1"/>
    </xf>
    <xf numFmtId="0" fontId="67" fillId="14" borderId="98" xfId="0" applyFont="1" applyFill="1" applyBorder="1" applyAlignment="1">
      <alignment vertical="center" wrapText="1"/>
    </xf>
    <xf numFmtId="164" fontId="68" fillId="14" borderId="105" xfId="1" applyNumberFormat="1" applyFont="1" applyFill="1" applyBorder="1" applyAlignment="1">
      <alignment vertical="center" wrapText="1"/>
    </xf>
    <xf numFmtId="164" fontId="68" fillId="14" borderId="97" xfId="1" applyNumberFormat="1" applyFont="1" applyFill="1" applyBorder="1" applyAlignment="1">
      <alignment vertical="center" wrapText="1"/>
    </xf>
    <xf numFmtId="164" fontId="68" fillId="14" borderId="103" xfId="1" applyNumberFormat="1" applyFont="1" applyFill="1" applyBorder="1" applyAlignment="1">
      <alignment vertical="center" wrapText="1"/>
    </xf>
    <xf numFmtId="164" fontId="68" fillId="0" borderId="107" xfId="1" applyNumberFormat="1" applyFont="1" applyBorder="1" applyAlignment="1">
      <alignment horizontal="right" wrapText="1"/>
    </xf>
    <xf numFmtId="164" fontId="68" fillId="0" borderId="0" xfId="1" applyNumberFormat="1" applyFont="1" applyAlignment="1">
      <alignment horizontal="right" wrapText="1"/>
    </xf>
    <xf numFmtId="164" fontId="68" fillId="0" borderId="96" xfId="1" applyNumberFormat="1" applyFont="1" applyBorder="1" applyAlignment="1">
      <alignment horizontal="right" wrapText="1"/>
    </xf>
    <xf numFmtId="164" fontId="68" fillId="0" borderId="107" xfId="1" applyNumberFormat="1" applyFont="1" applyBorder="1" applyAlignment="1">
      <alignment vertical="center" wrapText="1"/>
    </xf>
    <xf numFmtId="164" fontId="68" fillId="0" borderId="0" xfId="1" applyNumberFormat="1" applyFont="1" applyAlignment="1">
      <alignment vertical="center" wrapText="1"/>
    </xf>
    <xf numFmtId="164" fontId="68" fillId="0" borderId="99" xfId="1" applyNumberFormat="1" applyFont="1" applyBorder="1" applyAlignment="1">
      <alignment vertical="center" wrapText="1"/>
    </xf>
    <xf numFmtId="0" fontId="66" fillId="14" borderId="105" xfId="0" applyFont="1" applyFill="1" applyBorder="1" applyAlignment="1">
      <alignment vertical="center" wrapText="1"/>
    </xf>
    <xf numFmtId="0" fontId="66" fillId="14" borderId="97" xfId="0" applyFont="1" applyFill="1" applyBorder="1" applyAlignment="1">
      <alignment vertical="center" wrapText="1"/>
    </xf>
    <xf numFmtId="0" fontId="66" fillId="14" borderId="98" xfId="0" applyFont="1" applyFill="1" applyBorder="1" applyAlignment="1">
      <alignment vertical="center" wrapText="1"/>
    </xf>
    <xf numFmtId="164" fontId="69" fillId="14" borderId="105" xfId="1" applyNumberFormat="1" applyFont="1" applyFill="1" applyBorder="1" applyAlignment="1">
      <alignment horizontal="right" vertical="center" wrapText="1"/>
    </xf>
    <xf numFmtId="164" fontId="69" fillId="14" borderId="97" xfId="1" applyNumberFormat="1" applyFont="1" applyFill="1" applyBorder="1" applyAlignment="1">
      <alignment horizontal="right" vertical="center" wrapText="1"/>
    </xf>
    <xf numFmtId="164" fontId="69" fillId="14" borderId="98" xfId="1" applyNumberFormat="1" applyFont="1" applyFill="1" applyBorder="1" applyAlignment="1">
      <alignment horizontal="right" vertical="center" wrapText="1"/>
    </xf>
    <xf numFmtId="164" fontId="69" fillId="14" borderId="105" xfId="1" applyNumberFormat="1" applyFont="1" applyFill="1" applyBorder="1" applyAlignment="1">
      <alignment vertical="center" wrapText="1"/>
    </xf>
    <xf numFmtId="164" fontId="69" fillId="14" borderId="97" xfId="1" applyNumberFormat="1" applyFont="1" applyFill="1" applyBorder="1" applyAlignment="1">
      <alignment vertical="center" wrapText="1"/>
    </xf>
    <xf numFmtId="164" fontId="69" fillId="14" borderId="103" xfId="1" applyNumberFormat="1" applyFont="1" applyFill="1" applyBorder="1" applyAlignment="1">
      <alignment vertical="center" wrapText="1"/>
    </xf>
    <xf numFmtId="164" fontId="68" fillId="0" borderId="107" xfId="1" applyNumberFormat="1" applyFont="1" applyBorder="1" applyAlignment="1">
      <alignment horizontal="right" vertical="center" wrapText="1"/>
    </xf>
    <xf numFmtId="0" fontId="66" fillId="13" borderId="106" xfId="0" applyFont="1" applyFill="1" applyBorder="1" applyAlignment="1">
      <alignment horizontal="center" vertical="center" textRotation="90" wrapText="1"/>
    </xf>
    <xf numFmtId="0" fontId="67" fillId="0" borderId="111" xfId="0" applyFont="1" applyBorder="1" applyAlignment="1">
      <alignment vertical="center" wrapText="1"/>
    </xf>
    <xf numFmtId="0" fontId="67" fillId="0" borderId="94" xfId="0" applyFont="1" applyBorder="1" applyAlignment="1">
      <alignment vertical="center" wrapText="1"/>
    </xf>
    <xf numFmtId="0" fontId="67" fillId="0" borderId="95" xfId="0" applyFont="1" applyBorder="1" applyAlignment="1">
      <alignment vertical="center" wrapText="1"/>
    </xf>
    <xf numFmtId="164" fontId="68" fillId="0" borderId="111" xfId="1" applyNumberFormat="1" applyFont="1" applyBorder="1" applyAlignment="1">
      <alignment vertical="center" wrapText="1"/>
    </xf>
    <xf numFmtId="164" fontId="68" fillId="0" borderId="94" xfId="1" applyNumberFormat="1" applyFont="1" applyBorder="1" applyAlignment="1">
      <alignment vertical="center" wrapText="1"/>
    </xf>
    <xf numFmtId="164" fontId="68" fillId="0" borderId="123" xfId="1" applyNumberFormat="1" applyFont="1" applyBorder="1" applyAlignment="1">
      <alignment vertical="center" wrapText="1"/>
    </xf>
    <xf numFmtId="0" fontId="66" fillId="14" borderId="96" xfId="0" applyFont="1" applyFill="1" applyBorder="1" applyAlignment="1">
      <alignment vertical="center" wrapText="1"/>
    </xf>
    <xf numFmtId="164" fontId="66" fillId="14" borderId="107" xfId="1" applyNumberFormat="1" applyFont="1" applyFill="1" applyBorder="1" applyAlignment="1">
      <alignment horizontal="right" wrapText="1"/>
    </xf>
    <xf numFmtId="164" fontId="66" fillId="14" borderId="0" xfId="1" applyNumberFormat="1" applyFont="1" applyFill="1" applyAlignment="1">
      <alignment horizontal="right" wrapText="1"/>
    </xf>
    <xf numFmtId="164" fontId="66" fillId="14" borderId="96" xfId="1" applyNumberFormat="1" applyFont="1" applyFill="1" applyBorder="1" applyAlignment="1">
      <alignment horizontal="right" wrapText="1"/>
    </xf>
    <xf numFmtId="0" fontId="67" fillId="14" borderId="107" xfId="0" applyFont="1" applyFill="1" applyBorder="1" applyAlignment="1">
      <alignment vertical="center" wrapText="1"/>
    </xf>
    <xf numFmtId="164" fontId="68" fillId="14" borderId="107" xfId="1" applyNumberFormat="1" applyFont="1" applyFill="1" applyBorder="1" applyAlignment="1">
      <alignment vertical="center" wrapText="1"/>
    </xf>
    <xf numFmtId="164" fontId="68" fillId="14" borderId="0" xfId="1" applyNumberFormat="1" applyFont="1" applyFill="1" applyAlignment="1">
      <alignment vertical="center" wrapText="1"/>
    </xf>
    <xf numFmtId="164" fontId="68" fillId="14" borderId="99" xfId="1" applyNumberFormat="1" applyFont="1" applyFill="1" applyBorder="1" applyAlignment="1">
      <alignment vertical="center" wrapText="1"/>
    </xf>
    <xf numFmtId="0" fontId="66" fillId="0" borderId="122" xfId="0" applyFont="1" applyBorder="1" applyAlignment="1">
      <alignment horizontal="center" vertical="center" textRotation="90" wrapText="1"/>
    </xf>
    <xf numFmtId="0" fontId="66" fillId="0" borderId="106" xfId="0" applyFont="1" applyBorder="1" applyAlignment="1">
      <alignment horizontal="center" vertical="center" textRotation="90" wrapText="1"/>
    </xf>
    <xf numFmtId="0" fontId="66" fillId="0" borderId="104" xfId="0" applyFont="1" applyBorder="1" applyAlignment="1">
      <alignment horizontal="center" vertical="center" textRotation="90" wrapText="1"/>
    </xf>
    <xf numFmtId="164" fontId="69" fillId="14" borderId="107" xfId="1" applyNumberFormat="1" applyFont="1" applyFill="1" applyBorder="1" applyAlignment="1">
      <alignment horizontal="right" vertical="center" wrapText="1"/>
    </xf>
    <xf numFmtId="0" fontId="66" fillId="0" borderId="0" xfId="0" applyFont="1" applyAlignment="1">
      <alignment vertical="center" wrapText="1"/>
    </xf>
    <xf numFmtId="164" fontId="70" fillId="0" borderId="96" xfId="1" applyNumberFormat="1" applyFont="1" applyBorder="1" applyAlignment="1">
      <alignment vertical="center" wrapText="1"/>
    </xf>
    <xf numFmtId="164" fontId="69" fillId="0" borderId="107" xfId="1" applyNumberFormat="1" applyFont="1" applyBorder="1" applyAlignment="1">
      <alignment horizontal="right" vertical="center" wrapText="1"/>
    </xf>
    <xf numFmtId="164" fontId="69" fillId="0" borderId="0" xfId="1" applyNumberFormat="1" applyFont="1" applyAlignment="1">
      <alignment horizontal="right" vertical="center" wrapText="1"/>
    </xf>
    <xf numFmtId="164" fontId="69" fillId="0" borderId="96" xfId="1" applyNumberFormat="1" applyFont="1" applyBorder="1" applyAlignment="1">
      <alignment horizontal="right" vertical="center" wrapText="1"/>
    </xf>
    <xf numFmtId="164" fontId="70" fillId="0" borderId="105" xfId="1" applyNumberFormat="1" applyFont="1" applyBorder="1" applyAlignment="1">
      <alignment vertical="center" wrapText="1"/>
    </xf>
    <xf numFmtId="164" fontId="70" fillId="0" borderId="97" xfId="1" applyNumberFormat="1" applyFont="1" applyBorder="1" applyAlignment="1">
      <alignment vertical="center" wrapText="1"/>
    </xf>
    <xf numFmtId="164" fontId="70" fillId="0" borderId="98" xfId="1" applyNumberFormat="1" applyFont="1" applyBorder="1" applyAlignment="1">
      <alignment vertical="center" wrapText="1"/>
    </xf>
    <xf numFmtId="164" fontId="70" fillId="14" borderId="96" xfId="1" applyNumberFormat="1" applyFont="1" applyFill="1" applyBorder="1" applyAlignment="1">
      <alignment vertical="center" wrapText="1"/>
    </xf>
    <xf numFmtId="0" fontId="67" fillId="0" borderId="107" xfId="0" applyFont="1" applyFill="1" applyBorder="1" applyAlignment="1">
      <alignment vertical="center" wrapText="1"/>
    </xf>
    <xf numFmtId="0" fontId="67" fillId="0" borderId="0" xfId="0" applyFont="1" applyFill="1" applyAlignment="1">
      <alignment vertical="center" wrapText="1"/>
    </xf>
    <xf numFmtId="0" fontId="67" fillId="0" borderId="96" xfId="0" applyFont="1" applyFill="1" applyBorder="1" applyAlignment="1">
      <alignment vertical="center" wrapText="1"/>
    </xf>
    <xf numFmtId="164" fontId="68" fillId="0" borderId="107" xfId="1" applyNumberFormat="1" applyFont="1" applyFill="1" applyBorder="1" applyAlignment="1">
      <alignment horizontal="right" vertical="center" wrapText="1"/>
    </xf>
    <xf numFmtId="164" fontId="68" fillId="0" borderId="0" xfId="1" applyNumberFormat="1" applyFont="1" applyFill="1" applyAlignment="1">
      <alignment horizontal="right" vertical="center" wrapText="1"/>
    </xf>
    <xf numFmtId="164" fontId="68" fillId="0" borderId="96" xfId="1" applyNumberFormat="1" applyFont="1" applyFill="1" applyBorder="1" applyAlignment="1">
      <alignment horizontal="right" vertical="center" wrapText="1"/>
    </xf>
    <xf numFmtId="0" fontId="67" fillId="0" borderId="105" xfId="0" applyFont="1" applyBorder="1" applyAlignment="1">
      <alignment vertical="center" wrapText="1"/>
    </xf>
    <xf numFmtId="0" fontId="67" fillId="0" borderId="97" xfId="0" applyFont="1" applyBorder="1" applyAlignment="1">
      <alignment vertical="center" wrapText="1"/>
    </xf>
    <xf numFmtId="0" fontId="67" fillId="0" borderId="98" xfId="0" applyFont="1" applyBorder="1" applyAlignment="1">
      <alignment vertical="center" wrapText="1"/>
    </xf>
    <xf numFmtId="0" fontId="66" fillId="14" borderId="111" xfId="0" applyFont="1" applyFill="1" applyBorder="1" applyAlignment="1">
      <alignment vertical="center" wrapText="1"/>
    </xf>
    <xf numFmtId="0" fontId="66" fillId="14" borderId="94" xfId="0" applyFont="1" applyFill="1" applyBorder="1" applyAlignment="1">
      <alignment vertical="center" wrapText="1"/>
    </xf>
    <xf numFmtId="0" fontId="66" fillId="14" borderId="95" xfId="0" applyFont="1" applyFill="1" applyBorder="1" applyAlignment="1">
      <alignment vertical="center" wrapText="1"/>
    </xf>
    <xf numFmtId="164" fontId="69" fillId="14" borderId="111" xfId="1" applyNumberFormat="1" applyFont="1" applyFill="1" applyBorder="1" applyAlignment="1">
      <alignment vertical="center" wrapText="1"/>
    </xf>
    <xf numFmtId="164" fontId="69" fillId="14" borderId="94" xfId="1" applyNumberFormat="1" applyFont="1" applyFill="1" applyBorder="1" applyAlignment="1">
      <alignment vertical="center" wrapText="1"/>
    </xf>
    <xf numFmtId="164" fontId="69" fillId="14" borderId="123" xfId="1" applyNumberFormat="1" applyFont="1" applyFill="1" applyBorder="1" applyAlignment="1">
      <alignment vertical="center" wrapText="1"/>
    </xf>
    <xf numFmtId="164" fontId="69" fillId="0" borderId="105" xfId="1" applyNumberFormat="1" applyFont="1" applyBorder="1" applyAlignment="1">
      <alignment horizontal="right" vertical="center" wrapText="1"/>
    </xf>
    <xf numFmtId="164" fontId="68" fillId="14" borderId="111" xfId="1" applyNumberFormat="1" applyFont="1" applyFill="1" applyBorder="1" applyAlignment="1">
      <alignment horizontal="right" vertical="center" wrapText="1"/>
    </xf>
    <xf numFmtId="164" fontId="68" fillId="14" borderId="94" xfId="1" applyNumberFormat="1" applyFont="1" applyFill="1" applyBorder="1" applyAlignment="1">
      <alignment horizontal="right" vertical="center" wrapText="1"/>
    </xf>
    <xf numFmtId="164" fontId="68" fillId="14" borderId="95" xfId="1" applyNumberFormat="1" applyFont="1" applyFill="1" applyBorder="1" applyAlignment="1">
      <alignment horizontal="right" vertical="center" wrapText="1"/>
    </xf>
    <xf numFmtId="0" fontId="66" fillId="0" borderId="98" xfId="0" applyFont="1" applyBorder="1" applyAlignment="1">
      <alignment vertical="center" wrapText="1"/>
    </xf>
    <xf numFmtId="0" fontId="67" fillId="5" borderId="107" xfId="0" applyFont="1" applyFill="1" applyBorder="1" applyAlignment="1">
      <alignment vertical="center" wrapText="1"/>
    </xf>
    <xf numFmtId="0" fontId="67" fillId="5" borderId="0" xfId="0" applyFont="1" applyFill="1" applyAlignment="1">
      <alignment vertical="center" wrapText="1"/>
    </xf>
    <xf numFmtId="0" fontId="67" fillId="5" borderId="96" xfId="0" applyFont="1" applyFill="1" applyBorder="1" applyAlignment="1">
      <alignment vertical="center" wrapText="1"/>
    </xf>
    <xf numFmtId="164" fontId="68" fillId="5" borderId="107" xfId="1" applyNumberFormat="1" applyFont="1" applyFill="1" applyBorder="1" applyAlignment="1">
      <alignment vertical="center" wrapText="1"/>
    </xf>
    <xf numFmtId="164" fontId="68" fillId="5" borderId="0" xfId="1" applyNumberFormat="1" applyFont="1" applyFill="1" applyAlignment="1">
      <alignment vertical="center" wrapText="1"/>
    </xf>
    <xf numFmtId="164" fontId="68" fillId="5" borderId="99" xfId="1" applyNumberFormat="1" applyFont="1" applyFill="1" applyBorder="1" applyAlignment="1">
      <alignment vertical="center" wrapText="1"/>
    </xf>
    <xf numFmtId="164" fontId="69" fillId="14" borderId="107" xfId="1" applyNumberFormat="1" applyFont="1" applyFill="1" applyBorder="1" applyAlignment="1">
      <alignment vertical="center" wrapText="1"/>
    </xf>
    <xf numFmtId="164" fontId="69" fillId="14" borderId="0" xfId="1" applyNumberFormat="1" applyFont="1" applyFill="1" applyAlignment="1">
      <alignment vertical="center" wrapText="1"/>
    </xf>
    <xf numFmtId="164" fontId="69" fillId="14" borderId="99" xfId="1" applyNumberFormat="1" applyFont="1" applyFill="1" applyBorder="1" applyAlignment="1">
      <alignment vertical="center" wrapText="1"/>
    </xf>
    <xf numFmtId="164" fontId="68" fillId="5" borderId="107" xfId="1" applyNumberFormat="1" applyFont="1" applyFill="1" applyBorder="1" applyAlignment="1">
      <alignment horizontal="right" vertical="center" wrapText="1"/>
    </xf>
    <xf numFmtId="164" fontId="68" fillId="5" borderId="0" xfId="1" applyNumberFormat="1" applyFont="1" applyFill="1" applyAlignment="1">
      <alignment horizontal="right" vertical="center" wrapText="1"/>
    </xf>
    <xf numFmtId="164" fontId="68" fillId="5" borderId="96" xfId="1" applyNumberFormat="1" applyFont="1" applyFill="1" applyBorder="1" applyAlignment="1">
      <alignment horizontal="right" vertical="center" wrapText="1"/>
    </xf>
    <xf numFmtId="0" fontId="66" fillId="0" borderId="111" xfId="0" applyFont="1" applyBorder="1" applyAlignment="1">
      <alignment vertical="center" wrapText="1"/>
    </xf>
    <xf numFmtId="0" fontId="66" fillId="0" borderId="94" xfId="0" applyFont="1" applyBorder="1" applyAlignment="1">
      <alignment vertical="center" wrapText="1"/>
    </xf>
    <xf numFmtId="0" fontId="66" fillId="0" borderId="95" xfId="0" applyFont="1" applyBorder="1" applyAlignment="1">
      <alignment vertical="center" wrapText="1"/>
    </xf>
    <xf numFmtId="164" fontId="69" fillId="0" borderId="111" xfId="1" applyNumberFormat="1" applyFont="1" applyBorder="1" applyAlignment="1">
      <alignment horizontal="center" vertical="center" wrapText="1"/>
    </xf>
    <xf numFmtId="164" fontId="69" fillId="0" borderId="94" xfId="1" applyNumberFormat="1" applyFont="1" applyBorder="1" applyAlignment="1">
      <alignment horizontal="center" vertical="center" wrapText="1"/>
    </xf>
    <xf numFmtId="164" fontId="69" fillId="0" borderId="123" xfId="1" applyNumberFormat="1" applyFont="1" applyBorder="1" applyAlignment="1">
      <alignment horizontal="center" vertical="center" wrapText="1"/>
    </xf>
    <xf numFmtId="164" fontId="69" fillId="0" borderId="0" xfId="1" applyNumberFormat="1" applyFont="1" applyAlignment="1">
      <alignment vertical="center" wrapText="1"/>
    </xf>
    <xf numFmtId="164" fontId="69" fillId="0" borderId="99" xfId="1" applyNumberFormat="1" applyFont="1" applyBorder="1" applyAlignment="1">
      <alignment vertical="center" wrapText="1"/>
    </xf>
    <xf numFmtId="164" fontId="68" fillId="14" borderId="107" xfId="1" applyNumberFormat="1" applyFont="1" applyFill="1" applyBorder="1" applyAlignment="1" applyProtection="1">
      <alignment vertical="center" wrapText="1"/>
    </xf>
    <xf numFmtId="164" fontId="68" fillId="14" borderId="0" xfId="1" applyNumberFormat="1" applyFont="1" applyFill="1" applyAlignment="1" applyProtection="1">
      <alignment vertical="center" wrapText="1"/>
    </xf>
    <xf numFmtId="164" fontId="68" fillId="14" borderId="99" xfId="1" applyNumberFormat="1" applyFont="1" applyFill="1" applyBorder="1" applyAlignment="1" applyProtection="1">
      <alignment vertical="center" wrapText="1"/>
    </xf>
    <xf numFmtId="164" fontId="68" fillId="0" borderId="107" xfId="1" applyNumberFormat="1" applyFont="1" applyBorder="1" applyAlignment="1" applyProtection="1">
      <alignment vertical="center" wrapText="1"/>
    </xf>
    <xf numFmtId="164" fontId="68" fillId="0" borderId="0" xfId="1" applyNumberFormat="1" applyFont="1" applyAlignment="1" applyProtection="1">
      <alignment vertical="center" wrapText="1"/>
    </xf>
    <xf numFmtId="164" fontId="68" fillId="0" borderId="99" xfId="1" applyNumberFormat="1" applyFont="1" applyBorder="1" applyAlignment="1" applyProtection="1">
      <alignment vertical="center" wrapText="1"/>
    </xf>
    <xf numFmtId="0" fontId="67" fillId="13" borderId="111" xfId="0" applyFont="1" applyFill="1" applyBorder="1" applyAlignment="1">
      <alignment horizontal="center" vertical="center" wrapText="1"/>
    </xf>
    <xf numFmtId="0" fontId="67" fillId="13" borderId="94" xfId="0" applyFont="1" applyFill="1" applyBorder="1" applyAlignment="1">
      <alignment horizontal="center" vertical="center" wrapText="1"/>
    </xf>
    <xf numFmtId="0" fontId="67" fillId="13" borderId="95" xfId="0" applyFont="1" applyFill="1" applyBorder="1" applyAlignment="1">
      <alignment horizontal="center" vertical="center" wrapText="1"/>
    </xf>
    <xf numFmtId="0" fontId="67" fillId="13" borderId="107" xfId="0" applyFont="1" applyFill="1" applyBorder="1" applyAlignment="1">
      <alignment horizontal="center" vertical="center" wrapText="1"/>
    </xf>
    <xf numFmtId="0" fontId="67" fillId="13" borderId="0" xfId="0" applyFont="1" applyFill="1" applyAlignment="1">
      <alignment horizontal="center" vertical="center" wrapText="1"/>
    </xf>
    <xf numFmtId="0" fontId="67" fillId="13" borderId="96" xfId="0" applyFont="1" applyFill="1" applyBorder="1" applyAlignment="1">
      <alignment horizontal="center" vertical="center" wrapText="1"/>
    </xf>
    <xf numFmtId="0" fontId="67" fillId="13" borderId="105" xfId="0" applyFont="1" applyFill="1" applyBorder="1" applyAlignment="1">
      <alignment horizontal="center" vertical="center" wrapText="1"/>
    </xf>
    <xf numFmtId="0" fontId="67" fillId="13" borderId="97" xfId="0" applyFont="1" applyFill="1" applyBorder="1" applyAlignment="1">
      <alignment horizontal="center" vertical="center" wrapText="1"/>
    </xf>
    <xf numFmtId="0" fontId="67" fillId="13" borderId="98" xfId="0" applyFont="1" applyFill="1" applyBorder="1" applyAlignment="1">
      <alignment horizontal="center" vertical="center" wrapText="1"/>
    </xf>
    <xf numFmtId="0" fontId="38" fillId="14" borderId="111" xfId="0" applyFont="1" applyFill="1" applyBorder="1" applyAlignment="1">
      <alignment wrapText="1"/>
    </xf>
    <xf numFmtId="0" fontId="38" fillId="14" borderId="94" xfId="0" applyFont="1" applyFill="1" applyBorder="1" applyAlignment="1">
      <alignment wrapText="1"/>
    </xf>
    <xf numFmtId="0" fontId="38" fillId="14" borderId="95" xfId="0" applyFont="1" applyFill="1" applyBorder="1" applyAlignment="1">
      <alignment wrapText="1"/>
    </xf>
    <xf numFmtId="0" fontId="66" fillId="14" borderId="107" xfId="0" applyFont="1" applyFill="1" applyBorder="1" applyAlignment="1">
      <alignment horizontal="center" vertical="center" wrapText="1"/>
    </xf>
    <xf numFmtId="0" fontId="66" fillId="14" borderId="0" xfId="0" applyFont="1" applyFill="1" applyAlignment="1">
      <alignment horizontal="center" vertical="center" wrapText="1"/>
    </xf>
    <xf numFmtId="3" fontId="66" fillId="0" borderId="97" xfId="0" applyNumberFormat="1" applyFont="1" applyBorder="1" applyAlignment="1">
      <alignment horizontal="right" vertical="center" wrapText="1"/>
    </xf>
    <xf numFmtId="3" fontId="66" fillId="0" borderId="98" xfId="0" applyNumberFormat="1" applyFont="1" applyBorder="1" applyAlignment="1">
      <alignment horizontal="right" vertical="center" wrapText="1"/>
    </xf>
    <xf numFmtId="0" fontId="38" fillId="14" borderId="105" xfId="0" applyFont="1" applyFill="1" applyBorder="1" applyAlignment="1">
      <alignment vertical="center" wrapText="1"/>
    </xf>
    <xf numFmtId="0" fontId="38" fillId="14" borderId="97" xfId="0" applyFont="1" applyFill="1" applyBorder="1" applyAlignment="1">
      <alignment vertical="center" wrapText="1"/>
    </xf>
    <xf numFmtId="0" fontId="38" fillId="14" borderId="98" xfId="0" applyFont="1" applyFill="1" applyBorder="1" applyAlignment="1">
      <alignment vertical="center" wrapText="1"/>
    </xf>
    <xf numFmtId="0" fontId="38" fillId="0" borderId="111" xfId="0" applyFont="1" applyBorder="1" applyAlignment="1">
      <alignment wrapText="1"/>
    </xf>
    <xf numFmtId="0" fontId="38" fillId="0" borderId="94" xfId="0" applyFont="1" applyBorder="1" applyAlignment="1">
      <alignment wrapText="1"/>
    </xf>
    <xf numFmtId="0" fontId="38" fillId="0" borderId="95" xfId="0" applyFont="1" applyBorder="1" applyAlignment="1">
      <alignment wrapText="1"/>
    </xf>
    <xf numFmtId="0" fontId="38" fillId="0" borderId="107" xfId="0" applyFont="1" applyBorder="1" applyAlignment="1">
      <alignment wrapText="1"/>
    </xf>
    <xf numFmtId="0" fontId="38" fillId="0" borderId="0" xfId="0" applyFont="1" applyBorder="1" applyAlignment="1">
      <alignment wrapText="1"/>
    </xf>
    <xf numFmtId="0" fontId="38" fillId="0" borderId="96" xfId="0" applyFont="1" applyBorder="1" applyAlignment="1">
      <alignment wrapText="1"/>
    </xf>
    <xf numFmtId="0" fontId="38" fillId="0" borderId="105" xfId="0" applyFont="1" applyBorder="1" applyAlignment="1">
      <alignment wrapText="1"/>
    </xf>
    <xf numFmtId="0" fontId="38" fillId="0" borderId="97" xfId="0" applyFont="1" applyBorder="1" applyAlignment="1">
      <alignment wrapText="1"/>
    </xf>
    <xf numFmtId="0" fontId="38" fillId="0" borderId="98" xfId="0" applyFont="1" applyBorder="1" applyAlignment="1">
      <alignment wrapText="1"/>
    </xf>
    <xf numFmtId="0" fontId="62" fillId="14" borderId="119" xfId="0" applyFont="1" applyFill="1" applyBorder="1" applyAlignment="1">
      <alignment horizontal="center" vertical="center" wrapText="1"/>
    </xf>
    <xf numFmtId="0" fontId="62" fillId="14" borderId="120" xfId="0" applyFont="1" applyFill="1" applyBorder="1" applyAlignment="1">
      <alignment horizontal="center" vertical="center" wrapText="1"/>
    </xf>
    <xf numFmtId="0" fontId="62" fillId="14" borderId="93" xfId="0" applyFont="1" applyFill="1" applyBorder="1" applyAlignment="1">
      <alignment horizontal="center" vertical="center" wrapText="1"/>
    </xf>
    <xf numFmtId="3" fontId="62" fillId="0" borderId="119" xfId="0" applyNumberFormat="1" applyFont="1" applyBorder="1" applyAlignment="1">
      <alignment horizontal="center" vertical="center" wrapText="1"/>
    </xf>
    <xf numFmtId="3" fontId="62" fillId="0" borderId="120" xfId="0" applyNumberFormat="1" applyFont="1" applyBorder="1" applyAlignment="1">
      <alignment horizontal="center" vertical="center" wrapText="1"/>
    </xf>
    <xf numFmtId="3" fontId="62" fillId="0" borderId="93" xfId="0" applyNumberFormat="1" applyFont="1" applyBorder="1" applyAlignment="1">
      <alignment horizontal="center" vertical="center" wrapText="1"/>
    </xf>
    <xf numFmtId="0" fontId="62" fillId="0" borderId="119" xfId="0" applyFont="1" applyBorder="1" applyAlignment="1">
      <alignment horizontal="center" vertical="center" wrapText="1"/>
    </xf>
    <xf numFmtId="0" fontId="62" fillId="0" borderId="120" xfId="0" applyFont="1" applyBorder="1" applyAlignment="1">
      <alignment horizontal="center" vertical="center" wrapText="1"/>
    </xf>
    <xf numFmtId="0" fontId="62" fillId="0" borderId="93"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63" xfId="0" applyFont="1" applyBorder="1" applyAlignment="1">
      <alignment horizontal="center"/>
    </xf>
    <xf numFmtId="0" fontId="3" fillId="0" borderId="18" xfId="0" applyFont="1" applyBorder="1" applyAlignment="1">
      <alignment horizontal="center"/>
    </xf>
    <xf numFmtId="0" fontId="3" fillId="0" borderId="71" xfId="0" applyFont="1" applyBorder="1" applyAlignment="1">
      <alignment horizontal="center"/>
    </xf>
    <xf numFmtId="0" fontId="3" fillId="0" borderId="19" xfId="0" applyFont="1" applyBorder="1" applyAlignment="1">
      <alignment horizontal="center"/>
    </xf>
  </cellXfs>
  <cellStyles count="114">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Millares" xfId="1" builtinId="3"/>
    <cellStyle name="Millares [0]" xfId="3" builtinId="6"/>
    <cellStyle name="Millares [0]_Formulario y anexos renta PJ 2004" xfId="34"/>
    <cellStyle name="Moneda" xfId="2" builtinId="4"/>
    <cellStyle name="Moneda [0]" xfId="5" builtinId="7"/>
    <cellStyle name="Normal" xfId="0" builtinId="0"/>
    <cellStyle name="Normal 2" xfId="113"/>
    <cellStyle name="Porcentaje" xfId="4" builtinId="5"/>
  </cellStyles>
  <dxfs count="30">
    <dxf>
      <numFmt numFmtId="13" formatCode="0%"/>
    </dxf>
    <dxf>
      <numFmt numFmtId="13" formatCode="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medium">
          <color indexed="64"/>
        </right>
        <top/>
        <bottom/>
      </border>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border>
    </dxf>
    <dxf>
      <alignment horizontal="center" vertical="bottom" textRotation="0" wrapText="0" indent="0" justifyLastLine="0" shrinkToFit="0" readingOrder="0"/>
    </dxf>
    <dxf>
      <border>
        <bottom style="medium">
          <color indexed="64"/>
        </bottom>
      </border>
    </dxf>
    <dxf>
      <border diagonalUp="0" diagonalDown="0">
        <left/>
        <right/>
        <top/>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protection locked="1" hidden="0"/>
    </dxf>
    <dxf>
      <protection locked="1" hidden="0"/>
    </dxf>
    <dxf>
      <border diagonalUp="0" diagonalDown="0">
        <left style="medium">
          <color indexed="64"/>
        </left>
        <right style="medium">
          <color indexed="64"/>
        </right>
        <top style="medium">
          <color indexed="64"/>
        </top>
        <bottom style="medium">
          <color indexed="64"/>
        </bottom>
      </border>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79376</xdr:rowOff>
    </xdr:from>
    <xdr:to>
      <xdr:col>3</xdr:col>
      <xdr:colOff>354848</xdr:colOff>
      <xdr:row>7</xdr:row>
      <xdr:rowOff>91590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69876"/>
          <a:ext cx="2155073" cy="1155214"/>
        </a:xfrm>
        <a:prstGeom prst="rect">
          <a:avLst/>
        </a:prstGeom>
      </xdr:spPr>
    </xdr:pic>
    <xdr:clientData/>
  </xdr:twoCellAnchor>
  <xdr:twoCellAnchor editAs="oneCell">
    <xdr:from>
      <xdr:col>3</xdr:col>
      <xdr:colOff>1274013</xdr:colOff>
      <xdr:row>1</xdr:row>
      <xdr:rowOff>28575</xdr:rowOff>
    </xdr:from>
    <xdr:to>
      <xdr:col>7</xdr:col>
      <xdr:colOff>589548</xdr:colOff>
      <xdr:row>8</xdr:row>
      <xdr:rowOff>21631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2413" y="219075"/>
          <a:ext cx="2830260" cy="13265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33812</xdr:rowOff>
    </xdr:from>
    <xdr:to>
      <xdr:col>2</xdr:col>
      <xdr:colOff>1494538</xdr:colOff>
      <xdr:row>6</xdr:row>
      <xdr:rowOff>17109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353" y="33812"/>
          <a:ext cx="2166891" cy="1074003"/>
        </a:xfrm>
        <a:prstGeom prst="rect">
          <a:avLst/>
        </a:prstGeom>
      </xdr:spPr>
    </xdr:pic>
    <xdr:clientData/>
  </xdr:twoCellAnchor>
  <xdr:twoCellAnchor editAs="oneCell">
    <xdr:from>
      <xdr:col>5</xdr:col>
      <xdr:colOff>936096</xdr:colOff>
      <xdr:row>0</xdr:row>
      <xdr:rowOff>14932</xdr:rowOff>
    </xdr:from>
    <xdr:to>
      <xdr:col>9</xdr:col>
      <xdr:colOff>282696</xdr:colOff>
      <xdr:row>6</xdr:row>
      <xdr:rowOff>162555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30802" y="14932"/>
          <a:ext cx="3231306" cy="12383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95249</xdr:colOff>
      <xdr:row>8</xdr:row>
      <xdr:rowOff>49695</xdr:rowOff>
    </xdr:from>
    <xdr:to>
      <xdr:col>7</xdr:col>
      <xdr:colOff>142874</xdr:colOff>
      <xdr:row>11</xdr:row>
      <xdr:rowOff>173208</xdr:rowOff>
    </xdr:to>
    <xdr:pic>
      <xdr:nvPicPr>
        <xdr:cNvPr id="3" name="Imagen 2" descr="Imagen relacionad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 y="1581978"/>
          <a:ext cx="2698060" cy="69501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9720</xdr:colOff>
      <xdr:row>1</xdr:row>
      <xdr:rowOff>15939</xdr:rowOff>
    </xdr:from>
    <xdr:to>
      <xdr:col>5</xdr:col>
      <xdr:colOff>174417</xdr:colOff>
      <xdr:row>7</xdr:row>
      <xdr:rowOff>23142</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424" y="210327"/>
          <a:ext cx="2166891" cy="1173529"/>
        </a:xfrm>
        <a:prstGeom prst="rect">
          <a:avLst/>
        </a:prstGeom>
      </xdr:spPr>
    </xdr:pic>
    <xdr:clientData/>
  </xdr:twoCellAnchor>
  <xdr:twoCellAnchor editAs="oneCell">
    <xdr:from>
      <xdr:col>28</xdr:col>
      <xdr:colOff>220326</xdr:colOff>
      <xdr:row>0</xdr:row>
      <xdr:rowOff>19439</xdr:rowOff>
    </xdr:from>
    <xdr:to>
      <xdr:col>34</xdr:col>
      <xdr:colOff>487433</xdr:colOff>
      <xdr:row>7</xdr:row>
      <xdr:rowOff>9281</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86806" y="19439"/>
          <a:ext cx="2831368" cy="13505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1</xdr:row>
      <xdr:rowOff>22226</xdr:rowOff>
    </xdr:from>
    <xdr:to>
      <xdr:col>3</xdr:col>
      <xdr:colOff>466117</xdr:colOff>
      <xdr:row>7</xdr:row>
      <xdr:rowOff>22533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212726"/>
          <a:ext cx="2161567" cy="1143307"/>
        </a:xfrm>
        <a:prstGeom prst="rect">
          <a:avLst/>
        </a:prstGeom>
      </xdr:spPr>
    </xdr:pic>
    <xdr:clientData/>
  </xdr:twoCellAnchor>
  <xdr:twoCellAnchor editAs="oneCell">
    <xdr:from>
      <xdr:col>3</xdr:col>
      <xdr:colOff>870932</xdr:colOff>
      <xdr:row>0</xdr:row>
      <xdr:rowOff>114300</xdr:rowOff>
    </xdr:from>
    <xdr:to>
      <xdr:col>7</xdr:col>
      <xdr:colOff>136316</xdr:colOff>
      <xdr:row>7</xdr:row>
      <xdr:rowOff>95449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982" y="114300"/>
          <a:ext cx="2827734" cy="13146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1</xdr:row>
      <xdr:rowOff>9330</xdr:rowOff>
    </xdr:from>
    <xdr:to>
      <xdr:col>3</xdr:col>
      <xdr:colOff>461916</xdr:colOff>
      <xdr:row>7</xdr:row>
      <xdr:rowOff>39859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99830"/>
          <a:ext cx="2166891" cy="1173529"/>
        </a:xfrm>
        <a:prstGeom prst="rect">
          <a:avLst/>
        </a:prstGeom>
      </xdr:spPr>
    </xdr:pic>
    <xdr:clientData/>
  </xdr:twoCellAnchor>
  <xdr:twoCellAnchor editAs="oneCell">
    <xdr:from>
      <xdr:col>6</xdr:col>
      <xdr:colOff>688801</xdr:colOff>
      <xdr:row>0</xdr:row>
      <xdr:rowOff>38100</xdr:rowOff>
    </xdr:from>
    <xdr:to>
      <xdr:col>8</xdr:col>
      <xdr:colOff>500744</xdr:colOff>
      <xdr:row>7</xdr:row>
      <xdr:rowOff>55156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3176" y="38100"/>
          <a:ext cx="2831368" cy="1350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18718</xdr:colOff>
      <xdr:row>1</xdr:row>
      <xdr:rowOff>105353</xdr:rowOff>
    </xdr:from>
    <xdr:to>
      <xdr:col>2</xdr:col>
      <xdr:colOff>1584973</xdr:colOff>
      <xdr:row>7</xdr:row>
      <xdr:rowOff>117567</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468" y="304512"/>
          <a:ext cx="2155073" cy="1155214"/>
        </a:xfrm>
        <a:prstGeom prst="rect">
          <a:avLst/>
        </a:prstGeom>
      </xdr:spPr>
    </xdr:pic>
    <xdr:clientData/>
  </xdr:twoCellAnchor>
  <xdr:twoCellAnchor editAs="oneCell">
    <xdr:from>
      <xdr:col>2</xdr:col>
      <xdr:colOff>5232618</xdr:colOff>
      <xdr:row>1</xdr:row>
      <xdr:rowOff>0</xdr:rowOff>
    </xdr:from>
    <xdr:to>
      <xdr:col>4</xdr:col>
      <xdr:colOff>719969</xdr:colOff>
      <xdr:row>7</xdr:row>
      <xdr:rowOff>183556</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88186" y="199159"/>
          <a:ext cx="2830260" cy="1326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180975</xdr:colOff>
      <xdr:row>2</xdr:row>
      <xdr:rowOff>44848</xdr:rowOff>
    </xdr:from>
    <xdr:to>
      <xdr:col>2</xdr:col>
      <xdr:colOff>1580542</xdr:colOff>
      <xdr:row>9</xdr:row>
      <xdr:rowOff>67849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368698"/>
          <a:ext cx="2161567" cy="1156476"/>
        </a:xfrm>
        <a:prstGeom prst="rect">
          <a:avLst/>
        </a:prstGeom>
      </xdr:spPr>
    </xdr:pic>
    <xdr:clientData/>
  </xdr:twoCellAnchor>
  <xdr:twoCellAnchor editAs="oneCell">
    <xdr:from>
      <xdr:col>3</xdr:col>
      <xdr:colOff>494298</xdr:colOff>
      <xdr:row>2</xdr:row>
      <xdr:rowOff>0</xdr:rowOff>
    </xdr:from>
    <xdr:to>
      <xdr:col>5</xdr:col>
      <xdr:colOff>1120349</xdr:colOff>
      <xdr:row>10</xdr:row>
      <xdr:rowOff>34402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8698" y="323850"/>
          <a:ext cx="2835851" cy="13298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148828</xdr:colOff>
      <xdr:row>1</xdr:row>
      <xdr:rowOff>28973</xdr:rowOff>
    </xdr:from>
    <xdr:to>
      <xdr:col>1</xdr:col>
      <xdr:colOff>2310395</xdr:colOff>
      <xdr:row>7</xdr:row>
      <xdr:rowOff>51108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344" y="217489"/>
          <a:ext cx="2161567" cy="1143307"/>
        </a:xfrm>
        <a:prstGeom prst="rect">
          <a:avLst/>
        </a:prstGeom>
      </xdr:spPr>
    </xdr:pic>
    <xdr:clientData/>
  </xdr:twoCellAnchor>
  <xdr:twoCellAnchor editAs="oneCell">
    <xdr:from>
      <xdr:col>2</xdr:col>
      <xdr:colOff>1157476</xdr:colOff>
      <xdr:row>0</xdr:row>
      <xdr:rowOff>79375</xdr:rowOff>
    </xdr:from>
    <xdr:to>
      <xdr:col>4</xdr:col>
      <xdr:colOff>850077</xdr:colOff>
      <xdr:row>7</xdr:row>
      <xdr:rowOff>84336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41929" y="79375"/>
          <a:ext cx="2827734" cy="1314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173935</xdr:colOff>
      <xdr:row>1</xdr:row>
      <xdr:rowOff>22157</xdr:rowOff>
    </xdr:from>
    <xdr:to>
      <xdr:col>1</xdr:col>
      <xdr:colOff>2136719</xdr:colOff>
      <xdr:row>6</xdr:row>
      <xdr:rowOff>212964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935" y="212657"/>
          <a:ext cx="2161567" cy="1143307"/>
        </a:xfrm>
        <a:prstGeom prst="rect">
          <a:avLst/>
        </a:prstGeom>
      </xdr:spPr>
    </xdr:pic>
    <xdr:clientData/>
  </xdr:twoCellAnchor>
  <xdr:twoCellAnchor editAs="oneCell">
    <xdr:from>
      <xdr:col>2</xdr:col>
      <xdr:colOff>2576045</xdr:colOff>
      <xdr:row>0</xdr:row>
      <xdr:rowOff>0</xdr:rowOff>
    </xdr:from>
    <xdr:to>
      <xdr:col>5</xdr:col>
      <xdr:colOff>44931</xdr:colOff>
      <xdr:row>6</xdr:row>
      <xdr:rowOff>171649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3393" y="0"/>
          <a:ext cx="2827734" cy="13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27842</xdr:rowOff>
    </xdr:from>
    <xdr:to>
      <xdr:col>1</xdr:col>
      <xdr:colOff>2166891</xdr:colOff>
      <xdr:row>7</xdr:row>
      <xdr:rowOff>58371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797" y="216545"/>
          <a:ext cx="2166891" cy="1162746"/>
        </a:xfrm>
        <a:prstGeom prst="rect">
          <a:avLst/>
        </a:prstGeom>
      </xdr:spPr>
    </xdr:pic>
    <xdr:clientData/>
  </xdr:twoCellAnchor>
  <xdr:twoCellAnchor editAs="oneCell">
    <xdr:from>
      <xdr:col>2</xdr:col>
      <xdr:colOff>571197</xdr:colOff>
      <xdr:row>0</xdr:row>
      <xdr:rowOff>26957</xdr:rowOff>
    </xdr:from>
    <xdr:to>
      <xdr:col>4</xdr:col>
      <xdr:colOff>1023935</xdr:colOff>
      <xdr:row>7</xdr:row>
      <xdr:rowOff>44013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5914" y="26957"/>
          <a:ext cx="2833988" cy="13379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19935</xdr:rowOff>
    </xdr:from>
    <xdr:to>
      <xdr:col>1</xdr:col>
      <xdr:colOff>2166891</xdr:colOff>
      <xdr:row>7</xdr:row>
      <xdr:rowOff>50464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10435"/>
          <a:ext cx="2166891" cy="1173529"/>
        </a:xfrm>
        <a:prstGeom prst="rect">
          <a:avLst/>
        </a:prstGeom>
      </xdr:spPr>
    </xdr:pic>
    <xdr:clientData/>
  </xdr:twoCellAnchor>
  <xdr:twoCellAnchor editAs="oneCell">
    <xdr:from>
      <xdr:col>2</xdr:col>
      <xdr:colOff>628347</xdr:colOff>
      <xdr:row>0</xdr:row>
      <xdr:rowOff>0</xdr:rowOff>
    </xdr:from>
    <xdr:to>
      <xdr:col>4</xdr:col>
      <xdr:colOff>735588</xdr:colOff>
      <xdr:row>7</xdr:row>
      <xdr:rowOff>17056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43272" y="0"/>
          <a:ext cx="2833988" cy="13505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xdr:col>
      <xdr:colOff>2204991</xdr:colOff>
      <xdr:row>7</xdr:row>
      <xdr:rowOff>49579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209550"/>
          <a:ext cx="2166891" cy="1173529"/>
        </a:xfrm>
        <a:prstGeom prst="rect">
          <a:avLst/>
        </a:prstGeom>
      </xdr:spPr>
    </xdr:pic>
    <xdr:clientData/>
  </xdr:twoCellAnchor>
  <xdr:twoCellAnchor editAs="oneCell">
    <xdr:from>
      <xdr:col>1</xdr:col>
      <xdr:colOff>5409897</xdr:colOff>
      <xdr:row>0</xdr:row>
      <xdr:rowOff>0</xdr:rowOff>
    </xdr:from>
    <xdr:to>
      <xdr:col>4</xdr:col>
      <xdr:colOff>672664</xdr:colOff>
      <xdr:row>7</xdr:row>
      <xdr:rowOff>17056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71897" y="0"/>
          <a:ext cx="2833988" cy="13505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19438</xdr:colOff>
      <xdr:row>1</xdr:row>
      <xdr:rowOff>15162</xdr:rowOff>
    </xdr:from>
    <xdr:to>
      <xdr:col>1</xdr:col>
      <xdr:colOff>2186329</xdr:colOff>
      <xdr:row>7</xdr:row>
      <xdr:rowOff>22365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550" y="209550"/>
          <a:ext cx="2166891" cy="1173529"/>
        </a:xfrm>
        <a:prstGeom prst="rect">
          <a:avLst/>
        </a:prstGeom>
      </xdr:spPr>
    </xdr:pic>
    <xdr:clientData/>
  </xdr:twoCellAnchor>
  <xdr:twoCellAnchor editAs="oneCell">
    <xdr:from>
      <xdr:col>6</xdr:col>
      <xdr:colOff>103887</xdr:colOff>
      <xdr:row>0</xdr:row>
      <xdr:rowOff>9720</xdr:rowOff>
    </xdr:from>
    <xdr:to>
      <xdr:col>16383</xdr:col>
      <xdr:colOff>160193</xdr:colOff>
      <xdr:row>7</xdr:row>
      <xdr:rowOff>3449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43326" y="9720"/>
          <a:ext cx="2833988" cy="13505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os\BLA_datos\Enterprises\Declaraciones%20Renta\Familia%20Ortiz%20Lenis\Alfredo%20Ortiz%20Carrill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BLA_datos\Enterprises\Declaraciones%20Renta\Familia%20Ortiz%20Lenis\Alfredo%20Ortiz%20Carrill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Contribuyente y Detalles"/>
      <sheetName val="Renta Presuntiva"/>
      <sheetName val="UVT"/>
      <sheetName val="Rentas de Trabajo y Pensiones"/>
      <sheetName val="Rentas de capital y No Laborale"/>
      <sheetName val="Dividendos y Participaciones"/>
      <sheetName val="Imp. Ganancia Ocasional"/>
      <sheetName val="Ingresos que NO son declarables"/>
      <sheetName val="Resumen Tributario"/>
      <sheetName val="Anticipos y Otros"/>
      <sheetName val="Formulario 210"/>
      <sheetName val="Tabla Renta y Retefte"/>
    </sheetNames>
    <sheetDataSet>
      <sheetData sheetId="0"/>
      <sheetData sheetId="1"/>
      <sheetData sheetId="2">
        <row r="11">
          <cell r="B11">
            <v>31859</v>
          </cell>
          <cell r="F11">
            <v>737717</v>
          </cell>
        </row>
        <row r="12">
          <cell r="B12">
            <v>29753</v>
          </cell>
        </row>
      </sheetData>
      <sheetData sheetId="3"/>
      <sheetData sheetId="4"/>
      <sheetData sheetId="5"/>
      <sheetData sheetId="6"/>
      <sheetData sheetId="7"/>
      <sheetData sheetId="8"/>
      <sheetData sheetId="9"/>
      <sheetData sheetId="10"/>
      <sheetData sheetId="11">
        <row r="29">
          <cell r="H29" t="str">
            <v>Otros</v>
          </cell>
        </row>
        <row r="30">
          <cell r="H30" t="str">
            <v>Magistrados</v>
          </cell>
        </row>
        <row r="31">
          <cell r="H31" t="str">
            <v>Fiscales</v>
          </cell>
        </row>
        <row r="32">
          <cell r="H32" t="str">
            <v>Jueces</v>
          </cell>
        </row>
        <row r="33">
          <cell r="H33" t="str">
            <v>Rectores de universidades oficiales</v>
          </cell>
        </row>
        <row r="34">
          <cell r="H34" t="str">
            <v>Profesores de universidades oficiales</v>
          </cell>
        </row>
        <row r="35">
          <cell r="H35" t="str">
            <v>Oficial Fuerzas Armadas</v>
          </cell>
        </row>
        <row r="36">
          <cell r="H36" t="str">
            <v>Sudoficial Fuerzas Armadas</v>
          </cell>
        </row>
        <row r="37">
          <cell r="H37" t="str">
            <v>Oficial Policia Nacional</v>
          </cell>
        </row>
        <row r="38">
          <cell r="H38" t="str">
            <v>Sudoficial Policia Nacional</v>
          </cell>
        </row>
        <row r="39">
          <cell r="H39" t="str">
            <v>Agente Policia Nacional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210"/>
      <sheetName val="Detalle renglón 210"/>
      <sheetName val="Formulario 230-IMAS"/>
      <sheetName val="Detalle renglón 230 "/>
      <sheetName val="Tabla impto art 241"/>
      <sheetName val="tabla IMAN art.333"/>
      <sheetName val="tabla IMAS art.334"/>
      <sheetName val="acciones y aportes - A"/>
      <sheetName val="Inventarios bovinos - B"/>
      <sheetName val="Bienes raices - C"/>
      <sheetName val="Vehículos - D"/>
      <sheetName val="Interes presuntivo"/>
      <sheetName val="subcapitalizacion"/>
      <sheetName val="Renta Presuntiva - E"/>
      <sheetName val="Anticipo"/>
      <sheetName val="Sancion extemporaneidad"/>
      <sheetName val="Conciliacion patrimonial"/>
    </sheetNames>
    <sheetDataSet>
      <sheetData sheetId="0"/>
      <sheetData sheetId="1">
        <row r="199">
          <cell r="E199">
            <v>0</v>
          </cell>
        </row>
      </sheetData>
      <sheetData sheetId="2"/>
      <sheetData sheetId="3"/>
      <sheetData sheetId="4">
        <row r="17">
          <cell r="E17">
            <v>29753</v>
          </cell>
        </row>
      </sheetData>
      <sheetData sheetId="5"/>
      <sheetData sheetId="6"/>
      <sheetData sheetId="7"/>
      <sheetData sheetId="8">
        <row r="56">
          <cell r="N56">
            <v>20</v>
          </cell>
        </row>
      </sheetData>
      <sheetData sheetId="9">
        <row r="27">
          <cell r="O27">
            <v>0</v>
          </cell>
        </row>
      </sheetData>
      <sheetData sheetId="10">
        <row r="25">
          <cell r="L25">
            <v>0</v>
          </cell>
        </row>
      </sheetData>
      <sheetData sheetId="11"/>
      <sheetData sheetId="12">
        <row r="47">
          <cell r="D47">
            <v>0</v>
          </cell>
        </row>
      </sheetData>
      <sheetData sheetId="13"/>
      <sheetData sheetId="14"/>
      <sheetData sheetId="15"/>
      <sheetData sheetId="16"/>
    </sheetDataSet>
  </externalBook>
</externalLink>
</file>

<file path=xl/tables/table1.xml><?xml version="1.0" encoding="utf-8"?>
<table xmlns="http://schemas.openxmlformats.org/spreadsheetml/2006/main" id="7" name="Anticipo" displayName="Anticipo" ref="F8:G12" totalsRowShown="0" headerRowDxfId="29" dataDxfId="28" tableBorderDxfId="27">
  <autoFilter ref="F8:G12"/>
  <tableColumns count="2">
    <tableColumn id="1" name="Selección" dataDxfId="26"/>
    <tableColumn id="2" name="Porcentaje" dataDxfId="25"/>
  </tableColumns>
  <tableStyleInfo name="TableStyleMedium2" showFirstColumn="0" showLastColumn="0" showRowStripes="1" showColumnStripes="0"/>
</table>
</file>

<file path=xl/tables/table2.xml><?xml version="1.0" encoding="utf-8"?>
<table xmlns="http://schemas.openxmlformats.org/spreadsheetml/2006/main" id="1" name="Tabla241inc1" displayName="Tabla241inc1" ref="B10:E14" totalsRowShown="0" dataDxfId="24">
  <autoFilter ref="B10:E14"/>
  <tableColumns count="4">
    <tableColumn id="1" name="Rango" dataDxfId="23"/>
    <tableColumn id="2" name="Porcentaje" dataDxfId="22"/>
    <tableColumn id="3" name="UVT-" dataDxfId="21"/>
    <tableColumn id="4" name="UVT+" dataDxfId="20"/>
  </tableColumns>
  <tableStyleInfo name="TableStyleMedium2" showFirstColumn="0" showLastColumn="0" showRowStripes="1" showColumnStripes="0"/>
</table>
</file>

<file path=xl/tables/table3.xml><?xml version="1.0" encoding="utf-8"?>
<table xmlns="http://schemas.openxmlformats.org/spreadsheetml/2006/main" id="2" name="Tabla241inc2" displayName="Tabla241inc2" ref="G10:J16" totalsRowShown="0" dataDxfId="19">
  <autoFilter ref="G10:J16"/>
  <tableColumns count="4">
    <tableColumn id="1" name="Rango" dataDxfId="18"/>
    <tableColumn id="2" name="Porcentaje" dataDxfId="17"/>
    <tableColumn id="3" name="UVT-" dataDxfId="16"/>
    <tableColumn id="4" name="UVT+" dataDxfId="15"/>
  </tableColumns>
  <tableStyleInfo name="TableStyleMedium2" showFirstColumn="0" showLastColumn="0" showRowStripes="1" showColumnStripes="0"/>
</table>
</file>

<file path=xl/tables/table4.xml><?xml version="1.0" encoding="utf-8"?>
<table xmlns="http://schemas.openxmlformats.org/spreadsheetml/2006/main" id="3" name="Tabla383" displayName="Tabla383" ref="B20:E24" totalsRowShown="0" dataDxfId="14">
  <autoFilter ref="B20:E24"/>
  <tableColumns count="4">
    <tableColumn id="1" name="Rango" dataDxfId="13"/>
    <tableColumn id="2" name="Porcentaje" dataDxfId="12"/>
    <tableColumn id="3" name="UVT-" dataDxfId="11"/>
    <tableColumn id="4" name="UVT+" dataDxfId="10"/>
  </tableColumns>
  <tableStyleInfo name="TableStyleMedium2" showFirstColumn="0" showLastColumn="0" showRowStripes="1" showColumnStripes="0"/>
</table>
</file>

<file path=xl/tables/table5.xml><?xml version="1.0" encoding="utf-8"?>
<table xmlns="http://schemas.openxmlformats.org/spreadsheetml/2006/main" id="4" name="Tabla242inc1" displayName="Tabla242inc1" ref="G20:J23" totalsRowShown="0" headerRowDxfId="9" dataDxfId="7" headerRowBorderDxfId="8">
  <autoFilter ref="G20:J23"/>
  <tableColumns count="4">
    <tableColumn id="1" name="Rango" dataDxfId="6"/>
    <tableColumn id="2" name="Porcentaje" dataDxfId="5"/>
    <tableColumn id="3" name="UVT-" dataDxfId="4"/>
    <tableColumn id="4" name="UVT+" dataDxfId="3"/>
  </tableColumns>
  <tableStyleInfo name="TableStyleMedium2" showFirstColumn="0" showLastColumn="0" showRowStripes="1" showColumnStripes="0"/>
</table>
</file>

<file path=xl/tables/table6.xml><?xml version="1.0" encoding="utf-8"?>
<table xmlns="http://schemas.openxmlformats.org/spreadsheetml/2006/main" id="5" name="Art206N4" displayName="Art206N4" ref="B29:D36" totalsRowShown="0" headerRowDxfId="2">
  <autoFilter ref="B29:D36"/>
  <tableColumns count="3">
    <tableColumn id="1" name="Promedio"/>
    <tableColumn id="2" name="No Gravable" dataDxfId="1"/>
    <tableColumn id="3" name="Gravable" dataDxfId="0">
      <calculatedColumnFormula>1-C30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6" name="Art206N7" displayName="Art206N7" ref="H28:J39" totalsRowShown="0">
  <autoFilter ref="H28:J39"/>
  <tableColumns count="3">
    <tableColumn id="1" name="Clasificacion"/>
    <tableColumn id="2" name="Identificacion"/>
    <tableColumn id="3" name="Porcentaj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drawing" Target="../drawings/drawing13.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election activeCell="A3" sqref="A3"/>
    </sheetView>
  </sheetViews>
  <sheetFormatPr baseColWidth="10" defaultColWidth="9.140625" defaultRowHeight="15"/>
  <cols>
    <col min="1" max="2" width="9.140625" style="131"/>
    <col min="3" max="3" width="18.28515625" style="543" bestFit="1" customWidth="1"/>
    <col min="4" max="4" width="25.28515625" style="131" customWidth="1"/>
    <col min="5" max="16384" width="9.140625" style="131"/>
  </cols>
  <sheetData>
    <row r="2" spans="1:9">
      <c r="A2" s="144"/>
      <c r="B2" s="144"/>
      <c r="C2" s="547"/>
      <c r="D2" s="144"/>
      <c r="E2" s="144"/>
      <c r="F2" s="144"/>
      <c r="G2" s="144"/>
      <c r="H2" s="144"/>
      <c r="I2" s="144"/>
    </row>
    <row r="3" spans="1:9">
      <c r="A3" s="144"/>
      <c r="B3" s="144"/>
      <c r="C3" s="547"/>
      <c r="D3" s="144"/>
      <c r="E3" s="144"/>
      <c r="F3" s="144"/>
      <c r="G3" s="144"/>
      <c r="H3" s="144"/>
      <c r="I3" s="144"/>
    </row>
    <row r="4" spans="1:9">
      <c r="A4" s="144"/>
      <c r="B4" s="144"/>
      <c r="C4" s="547"/>
      <c r="D4" s="144"/>
      <c r="E4" s="144"/>
      <c r="F4" s="144"/>
      <c r="G4" s="144"/>
      <c r="H4" s="144"/>
      <c r="I4" s="144"/>
    </row>
    <row r="5" spans="1:9">
      <c r="A5" s="144"/>
      <c r="B5" s="144"/>
      <c r="C5" s="547"/>
      <c r="D5" s="144"/>
      <c r="E5" s="144"/>
      <c r="F5" s="144"/>
      <c r="G5" s="144"/>
      <c r="H5" s="144"/>
      <c r="I5" s="144"/>
    </row>
    <row r="6" spans="1:9">
      <c r="A6" s="144"/>
      <c r="B6" s="144"/>
      <c r="C6" s="547"/>
      <c r="D6" s="144"/>
      <c r="E6" s="144"/>
      <c r="F6" s="144"/>
      <c r="G6" s="144"/>
      <c r="H6" s="144"/>
      <c r="I6" s="144"/>
    </row>
    <row r="7" spans="1:9">
      <c r="A7" s="144"/>
      <c r="B7" s="144"/>
      <c r="C7" s="547"/>
      <c r="D7" s="144"/>
      <c r="E7" s="144"/>
      <c r="F7" s="144"/>
      <c r="G7" s="144"/>
      <c r="H7" s="144"/>
      <c r="I7" s="144"/>
    </row>
    <row r="8" spans="1:9">
      <c r="A8" s="144"/>
      <c r="B8" s="144"/>
      <c r="C8" s="547"/>
      <c r="D8" s="144"/>
      <c r="E8" s="144"/>
      <c r="F8" s="144"/>
      <c r="G8" s="144"/>
      <c r="H8" s="144"/>
      <c r="I8" s="144"/>
    </row>
    <row r="9" spans="1:9" ht="15.75" thickBot="1"/>
    <row r="10" spans="1:9" ht="15.75" thickBot="1">
      <c r="C10" s="692" t="s">
        <v>506</v>
      </c>
      <c r="D10" s="693"/>
    </row>
    <row r="11" spans="1:9">
      <c r="C11" s="656" t="s">
        <v>501</v>
      </c>
      <c r="D11" s="544"/>
    </row>
    <row r="12" spans="1:9">
      <c r="C12" s="657" t="s">
        <v>502</v>
      </c>
      <c r="D12" s="545"/>
    </row>
    <row r="13" spans="1:9">
      <c r="C13" s="657" t="s">
        <v>503</v>
      </c>
      <c r="D13" s="545"/>
    </row>
    <row r="14" spans="1:9">
      <c r="C14" s="657" t="s">
        <v>504</v>
      </c>
      <c r="D14" s="545"/>
    </row>
    <row r="15" spans="1:9" ht="15.75" thickBot="1">
      <c r="C15" s="658" t="s">
        <v>505</v>
      </c>
      <c r="D15" s="546"/>
    </row>
    <row r="16" spans="1:9" ht="15.75" thickBot="1">
      <c r="C16" s="547"/>
      <c r="D16" s="144"/>
    </row>
    <row r="17" spans="3:4" ht="15.75" thickBot="1">
      <c r="C17" s="692" t="s">
        <v>507</v>
      </c>
      <c r="D17" s="693"/>
    </row>
    <row r="18" spans="3:4">
      <c r="C18" s="656" t="s">
        <v>501</v>
      </c>
      <c r="D18" s="544"/>
    </row>
    <row r="19" spans="3:4">
      <c r="C19" s="657" t="s">
        <v>508</v>
      </c>
      <c r="D19" s="545"/>
    </row>
  </sheetData>
  <sheetProtection algorithmName="SHA-512" hashValue="W9kMZfKxX6S6FlIQq39eZfXRWcOUn8HSOzidxSzXdMuW+nRZ0R1gcO7PLUPQibFwweR23xfJyB//7j2RqxcBCg==" saltValue="VMsbxv+HmCd7N0GIR1KUog==" spinCount="100000" sheet="1" objects="1" scenarios="1"/>
  <mergeCells count="2">
    <mergeCell ref="C10:D10"/>
    <mergeCell ref="C17:D17"/>
  </mergeCells>
  <pageMargins left="0.7" right="0.7" top="0.75" bottom="0.75" header="0.3" footer="0.3"/>
  <pageSetup paperSize="0" orientation="portrait"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48"/>
  <sheetViews>
    <sheetView showGridLines="0" topLeftCell="A7" zoomScale="85" zoomScaleNormal="85" zoomScalePageLayoutView="200" workbookViewId="0">
      <selection activeCell="D14" sqref="D14"/>
    </sheetView>
  </sheetViews>
  <sheetFormatPr baseColWidth="10" defaultColWidth="8.85546875" defaultRowHeight="15"/>
  <cols>
    <col min="1" max="1" width="4.28515625" style="191" customWidth="1"/>
    <col min="2" max="2" width="8.85546875" style="191"/>
    <col min="3" max="3" width="50.140625" style="191" bestFit="1" customWidth="1"/>
    <col min="4" max="4" width="25" style="191" customWidth="1"/>
    <col min="5" max="5" width="8.85546875" style="191"/>
    <col min="6" max="6" width="20.42578125" style="191" customWidth="1"/>
    <col min="7" max="7" width="12.85546875" style="191" customWidth="1"/>
    <col min="8" max="16384" width="8.85546875" style="191"/>
  </cols>
  <sheetData>
    <row r="6" spans="2:10" ht="15.75" thickBot="1"/>
    <row r="7" spans="2:10" ht="15.75" thickBot="1">
      <c r="B7" s="734" t="s">
        <v>482</v>
      </c>
      <c r="C7" s="735"/>
      <c r="D7" s="736"/>
    </row>
    <row r="8" spans="2:10" ht="15.75" thickBot="1">
      <c r="F8" s="563" t="s">
        <v>474</v>
      </c>
      <c r="G8" s="564" t="s">
        <v>72</v>
      </c>
    </row>
    <row r="9" spans="2:10" ht="16.5" thickTop="1" thickBot="1">
      <c r="B9" s="823" t="s">
        <v>475</v>
      </c>
      <c r="C9" s="824"/>
      <c r="D9" s="557" t="s">
        <v>478</v>
      </c>
      <c r="F9" s="563" t="s">
        <v>472</v>
      </c>
      <c r="G9" s="564">
        <v>0.25</v>
      </c>
    </row>
    <row r="10" spans="2:10" ht="16.5" thickTop="1" thickBot="1">
      <c r="F10" s="563" t="s">
        <v>473</v>
      </c>
      <c r="G10" s="564">
        <v>0.5</v>
      </c>
    </row>
    <row r="11" spans="2:10" ht="15.75" thickTop="1">
      <c r="B11" s="820" t="str">
        <f>+D9</f>
        <v>Tercer Año y Posterior</v>
      </c>
      <c r="C11" s="565"/>
      <c r="D11" s="582"/>
      <c r="F11" s="563" t="s">
        <v>478</v>
      </c>
      <c r="G11" s="564">
        <v>0.75</v>
      </c>
    </row>
    <row r="12" spans="2:10">
      <c r="B12" s="821"/>
      <c r="C12" s="566" t="s">
        <v>467</v>
      </c>
      <c r="D12" s="579"/>
      <c r="F12" s="563" t="s">
        <v>483</v>
      </c>
      <c r="G12" s="564">
        <v>0</v>
      </c>
    </row>
    <row r="13" spans="2:10" ht="15" customHeight="1" thickBot="1">
      <c r="B13" s="821"/>
      <c r="C13" s="567" t="s">
        <v>487</v>
      </c>
      <c r="D13" s="558">
        <v>0</v>
      </c>
      <c r="F13" s="687"/>
      <c r="G13" s="687"/>
    </row>
    <row r="14" spans="2:10" ht="15" customHeight="1">
      <c r="B14" s="821"/>
      <c r="C14" s="567" t="s">
        <v>488</v>
      </c>
      <c r="D14" s="579">
        <f>'Formulario 210'!AF43</f>
        <v>0</v>
      </c>
      <c r="F14" s="811" t="s">
        <v>484</v>
      </c>
      <c r="G14" s="812"/>
      <c r="H14" s="812"/>
      <c r="I14" s="812"/>
      <c r="J14" s="813"/>
    </row>
    <row r="15" spans="2:10">
      <c r="B15" s="821"/>
      <c r="C15" s="567" t="s">
        <v>377</v>
      </c>
      <c r="D15" s="579">
        <f>+D13+D14</f>
        <v>0</v>
      </c>
      <c r="F15" s="814"/>
      <c r="G15" s="815"/>
      <c r="H15" s="815"/>
      <c r="I15" s="815"/>
      <c r="J15" s="816"/>
    </row>
    <row r="16" spans="2:10" ht="15" customHeight="1">
      <c r="B16" s="821"/>
      <c r="C16" s="567" t="s">
        <v>256</v>
      </c>
      <c r="D16" s="579">
        <f>ROUND(+D15/2,-3)</f>
        <v>0</v>
      </c>
      <c r="F16" s="814" t="s">
        <v>485</v>
      </c>
      <c r="G16" s="815"/>
      <c r="H16" s="815"/>
      <c r="I16" s="815"/>
      <c r="J16" s="816"/>
    </row>
    <row r="17" spans="2:10">
      <c r="B17" s="821"/>
      <c r="C17" s="568">
        <f>+VLOOKUP(D9,Anticipo[#All],2,FALSE)</f>
        <v>0.75</v>
      </c>
      <c r="D17" s="579">
        <f>ROUND(+D16*C17,-3)</f>
        <v>0</v>
      </c>
      <c r="F17" s="814"/>
      <c r="G17" s="815"/>
      <c r="H17" s="815"/>
      <c r="I17" s="815"/>
      <c r="J17" s="816"/>
    </row>
    <row r="18" spans="2:10" ht="15.75" thickBot="1">
      <c r="B18" s="821"/>
      <c r="C18" s="567" t="s">
        <v>476</v>
      </c>
      <c r="D18" s="580">
        <f>+'Formulario 210'!AF49</f>
        <v>0</v>
      </c>
      <c r="F18" s="814" t="s">
        <v>486</v>
      </c>
      <c r="G18" s="815"/>
      <c r="H18" s="815"/>
      <c r="I18" s="815"/>
      <c r="J18" s="816"/>
    </row>
    <row r="19" spans="2:10" ht="16.5" thickTop="1" thickBot="1">
      <c r="B19" s="821"/>
      <c r="C19" s="569" t="s">
        <v>468</v>
      </c>
      <c r="D19" s="581">
        <f>IF(D17-D18&gt;0,D17-D18,0)</f>
        <v>0</v>
      </c>
      <c r="F19" s="817"/>
      <c r="G19" s="818"/>
      <c r="H19" s="818"/>
      <c r="I19" s="818"/>
      <c r="J19" s="819"/>
    </row>
    <row r="20" spans="2:10" ht="16.5" thickTop="1" thickBot="1">
      <c r="B20" s="821"/>
      <c r="C20" s="570" t="s">
        <v>469</v>
      </c>
      <c r="D20" s="688"/>
      <c r="F20" s="687"/>
      <c r="G20" s="687"/>
      <c r="H20" s="687"/>
      <c r="I20" s="687"/>
    </row>
    <row r="21" spans="2:10" ht="15.75" thickTop="1">
      <c r="B21" s="821"/>
      <c r="C21" s="565" t="s">
        <v>488</v>
      </c>
      <c r="D21" s="582">
        <f>+D14</f>
        <v>0</v>
      </c>
      <c r="F21" s="687"/>
      <c r="G21" s="687"/>
      <c r="H21" s="687"/>
      <c r="I21" s="687"/>
    </row>
    <row r="22" spans="2:10">
      <c r="B22" s="821"/>
      <c r="C22" s="568">
        <f>+C17:C17</f>
        <v>0.75</v>
      </c>
      <c r="D22" s="583">
        <f>ROUND(+D21*C22,-3)</f>
        <v>0</v>
      </c>
      <c r="F22" s="687"/>
      <c r="G22" s="687"/>
      <c r="H22" s="687"/>
      <c r="I22" s="687"/>
    </row>
    <row r="23" spans="2:10" ht="15.75" thickBot="1">
      <c r="B23" s="821"/>
      <c r="C23" s="567" t="s">
        <v>476</v>
      </c>
      <c r="D23" s="584">
        <f>+D18</f>
        <v>0</v>
      </c>
    </row>
    <row r="24" spans="2:10" ht="16.5" thickTop="1" thickBot="1">
      <c r="B24" s="821"/>
      <c r="C24" s="569" t="s">
        <v>470</v>
      </c>
      <c r="D24" s="581">
        <f>+IF(D22-D23&gt;0,D22-D23,0)</f>
        <v>0</v>
      </c>
    </row>
    <row r="25" spans="2:10" ht="15.75" thickTop="1">
      <c r="B25" s="821"/>
      <c r="C25" s="571" t="s">
        <v>471</v>
      </c>
      <c r="D25" s="559">
        <v>0</v>
      </c>
    </row>
    <row r="26" spans="2:10" ht="15.75" thickBot="1">
      <c r="B26" s="822"/>
      <c r="C26" s="572" t="s">
        <v>477</v>
      </c>
      <c r="D26" s="585">
        <f>IF(D25&gt;0,D25,IF(D19&gt;D24,D24,D19))</f>
        <v>0</v>
      </c>
    </row>
    <row r="27" spans="2:10" ht="16.5" thickTop="1" thickBot="1">
      <c r="B27" s="573"/>
      <c r="C27" s="573"/>
      <c r="D27" s="689"/>
    </row>
    <row r="28" spans="2:10" ht="16.5" thickTop="1" thickBot="1">
      <c r="B28" s="573"/>
      <c r="C28" s="574" t="s">
        <v>479</v>
      </c>
      <c r="D28" s="557">
        <v>0</v>
      </c>
    </row>
    <row r="29" spans="2:10" ht="16.5" thickTop="1" thickBot="1"/>
    <row r="30" spans="2:10" ht="16.5" thickTop="1" thickBot="1">
      <c r="C30" s="575" t="s">
        <v>480</v>
      </c>
      <c r="D30" s="560">
        <v>0</v>
      </c>
    </row>
    <row r="31" spans="2:10" ht="16.5" thickTop="1" thickBot="1"/>
    <row r="32" spans="2:10" ht="16.5" thickTop="1" thickBot="1">
      <c r="C32" s="576" t="s">
        <v>481</v>
      </c>
      <c r="D32" s="557">
        <v>0</v>
      </c>
    </row>
    <row r="33" spans="2:11" ht="16.5" thickTop="1" thickBot="1"/>
    <row r="34" spans="2:11" ht="16.5" thickTop="1" thickBot="1">
      <c r="C34" s="809" t="s">
        <v>499</v>
      </c>
      <c r="D34" s="810"/>
    </row>
    <row r="35" spans="2:11" ht="16.5" thickTop="1" thickBot="1">
      <c r="C35" s="577" t="s">
        <v>205</v>
      </c>
      <c r="D35" s="561">
        <v>0</v>
      </c>
      <c r="E35" s="690"/>
      <c r="F35" s="690"/>
      <c r="G35" s="690"/>
      <c r="H35" s="690"/>
      <c r="I35" s="690"/>
      <c r="J35" s="690"/>
      <c r="K35" s="690"/>
    </row>
    <row r="36" spans="2:11" ht="16.5" thickTop="1" thickBot="1">
      <c r="C36" s="577" t="s">
        <v>207</v>
      </c>
      <c r="D36" s="561">
        <v>0</v>
      </c>
      <c r="E36" s="690"/>
      <c r="F36" s="690"/>
      <c r="G36" s="690"/>
      <c r="H36" s="690"/>
      <c r="I36" s="690"/>
      <c r="J36" s="690"/>
      <c r="K36" s="690"/>
    </row>
    <row r="37" spans="2:11" ht="16.5" thickTop="1" thickBot="1">
      <c r="C37" s="578" t="s">
        <v>208</v>
      </c>
      <c r="D37" s="561">
        <v>0</v>
      </c>
      <c r="E37" s="690"/>
      <c r="F37" s="690"/>
      <c r="G37" s="690"/>
      <c r="H37" s="690"/>
      <c r="I37" s="690"/>
      <c r="J37" s="690"/>
      <c r="K37" s="690"/>
    </row>
    <row r="38" spans="2:11" ht="15.75" thickTop="1"/>
    <row r="39" spans="2:11" ht="15.75" thickBot="1"/>
    <row r="40" spans="2:11" ht="19.5" thickBot="1">
      <c r="B40" s="826" t="s">
        <v>509</v>
      </c>
      <c r="C40" s="827"/>
      <c r="D40" s="828"/>
    </row>
    <row r="41" spans="2:11" ht="18.75">
      <c r="B41" s="825" t="s">
        <v>510</v>
      </c>
      <c r="C41" s="825"/>
      <c r="D41" s="562">
        <v>0</v>
      </c>
    </row>
    <row r="42" spans="2:11" ht="18.75">
      <c r="B42" s="829" t="s">
        <v>511</v>
      </c>
      <c r="C42" s="830"/>
      <c r="D42" s="562">
        <v>0</v>
      </c>
    </row>
    <row r="43" spans="2:11" ht="60.75" customHeight="1">
      <c r="B43" s="807" t="s">
        <v>169</v>
      </c>
      <c r="C43" s="808"/>
      <c r="D43" s="562">
        <v>0</v>
      </c>
    </row>
    <row r="44" spans="2:11" ht="47.25" customHeight="1">
      <c r="B44" s="807" t="s">
        <v>514</v>
      </c>
      <c r="C44" s="808"/>
      <c r="D44" s="562">
        <v>0</v>
      </c>
    </row>
    <row r="45" spans="2:11" ht="15.75" thickBot="1"/>
    <row r="46" spans="2:11" ht="19.5" thickBot="1">
      <c r="B46" s="752" t="s">
        <v>512</v>
      </c>
      <c r="C46" s="753"/>
      <c r="D46" s="754"/>
    </row>
    <row r="47" spans="2:11" ht="18.75">
      <c r="B47" s="825" t="s">
        <v>513</v>
      </c>
      <c r="C47" s="825"/>
      <c r="D47" s="562">
        <v>0</v>
      </c>
    </row>
    <row r="48" spans="2:11" ht="42" customHeight="1">
      <c r="B48" s="807" t="s">
        <v>215</v>
      </c>
      <c r="C48" s="808"/>
      <c r="D48" s="562">
        <v>0</v>
      </c>
    </row>
  </sheetData>
  <sheetProtection algorithmName="SHA-512" hashValue="6prP0vQX3Iph27A5oxgtBgknJSjB21jr9ZR6s1/NvxUsMmbDj7EhkDpsxLCbe0wpEWcDLpyRMY79bjeXsE13HQ==" saltValue="240DE9ozQxBU23dTEo9arQ==" spinCount="100000" sheet="1" objects="1" scenarios="1"/>
  <mergeCells count="15">
    <mergeCell ref="B48:C48"/>
    <mergeCell ref="B7:D7"/>
    <mergeCell ref="C34:D34"/>
    <mergeCell ref="F14:J15"/>
    <mergeCell ref="F16:J17"/>
    <mergeCell ref="F18:J19"/>
    <mergeCell ref="B11:B26"/>
    <mergeCell ref="B9:C9"/>
    <mergeCell ref="B46:D46"/>
    <mergeCell ref="B47:C47"/>
    <mergeCell ref="B40:D40"/>
    <mergeCell ref="B41:C41"/>
    <mergeCell ref="B42:C42"/>
    <mergeCell ref="B43:C43"/>
    <mergeCell ref="B44:C44"/>
  </mergeCells>
  <phoneticPr fontId="76" type="noConversion"/>
  <dataValidations count="1">
    <dataValidation type="list" allowBlank="1" showInputMessage="1" showErrorMessage="1" sqref="D9">
      <formula1>$F$9:$F$12</formula1>
    </dataValidation>
  </dataValidations>
  <pageMargins left="0.7" right="0.7" top="0.75" bottom="0.75" header="0.3" footer="0.3"/>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topLeftCell="A37" zoomScale="115" zoomScaleNormal="115" zoomScalePageLayoutView="150" workbookViewId="0">
      <selection activeCell="N50" sqref="N50:Q50"/>
    </sheetView>
  </sheetViews>
  <sheetFormatPr baseColWidth="10" defaultColWidth="0" defaultRowHeight="15" zeroHeight="1"/>
  <cols>
    <col min="1" max="1" width="3.85546875" style="121" customWidth="1"/>
    <col min="2" max="2" width="9" style="121" customWidth="1"/>
    <col min="3" max="3" width="7.42578125" style="121" customWidth="1"/>
    <col min="4" max="4" width="8.28515625" style="121" customWidth="1"/>
    <col min="5" max="5" width="5.28515625" style="121" customWidth="1"/>
    <col min="6" max="6" width="4" style="121" customWidth="1"/>
    <col min="7" max="7" width="5.7109375" style="121" customWidth="1"/>
    <col min="8" max="8" width="8.42578125" style="121" customWidth="1"/>
    <col min="9" max="9" width="3.7109375" style="121" customWidth="1"/>
    <col min="10" max="10" width="6.42578125" style="121" customWidth="1"/>
    <col min="11" max="11" width="2.85546875" style="121" customWidth="1"/>
    <col min="12" max="12" width="10.85546875" style="121" customWidth="1"/>
    <col min="13" max="13" width="4.7109375" style="121" customWidth="1"/>
    <col min="14" max="14" width="2" style="121" customWidth="1"/>
    <col min="15" max="15" width="5.42578125" style="121" customWidth="1"/>
    <col min="16" max="16" width="3.7109375" style="121" customWidth="1"/>
    <col min="17" max="17" width="9.140625" style="121" customWidth="1"/>
    <col min="18" max="18" width="0" style="121" hidden="1" customWidth="1"/>
    <col min="19" max="19" width="2.28515625" style="121" hidden="1" customWidth="1"/>
    <col min="20" max="20" width="8.85546875" style="121" customWidth="1"/>
    <col min="21" max="21" width="6.42578125" style="121" customWidth="1"/>
    <col min="22" max="22" width="18.7109375" style="121" customWidth="1"/>
    <col min="23" max="23" width="3.85546875" style="121" customWidth="1"/>
    <col min="24" max="24" width="3.140625" style="121" customWidth="1"/>
    <col min="25" max="25" width="3.42578125" style="121" customWidth="1"/>
    <col min="26" max="26" width="3.7109375" style="121" customWidth="1"/>
    <col min="27" max="27" width="4" style="121" customWidth="1"/>
    <col min="28" max="28" width="3.7109375" style="121" customWidth="1"/>
    <col min="29" max="29" width="4.42578125" style="121" customWidth="1"/>
    <col min="30" max="30" width="17.42578125" style="121" customWidth="1"/>
    <col min="31" max="31" width="4.28515625" style="121" customWidth="1"/>
    <col min="32" max="32" width="6.42578125" style="121" customWidth="1"/>
    <col min="33" max="33" width="2.28515625" style="121" customWidth="1"/>
    <col min="34" max="34" width="3.5703125" style="121" customWidth="1"/>
    <col min="35" max="35" width="10.5703125" style="121" customWidth="1"/>
    <col min="36" max="36" width="11.42578125" style="121" customWidth="1"/>
    <col min="37" max="38" width="0" style="121" hidden="1" customWidth="1"/>
    <col min="39" max="16384" width="11.42578125" style="121" hidden="1"/>
  </cols>
  <sheetData>
    <row r="1" spans="2:35"/>
    <row r="2" spans="2:35"/>
    <row r="3" spans="2:35"/>
    <row r="4" spans="2:35"/>
    <row r="5" spans="2:35"/>
    <row r="6" spans="2:35"/>
    <row r="7" spans="2:35"/>
    <row r="8" spans="2:35" ht="15.75" thickBot="1"/>
    <row r="9" spans="2:35">
      <c r="B9" s="831"/>
      <c r="C9" s="832"/>
      <c r="D9" s="832"/>
      <c r="E9" s="832"/>
      <c r="F9" s="832"/>
      <c r="G9" s="832"/>
      <c r="H9" s="833"/>
      <c r="I9" s="840" t="s">
        <v>138</v>
      </c>
      <c r="J9" s="841"/>
      <c r="K9" s="841"/>
      <c r="L9" s="841"/>
      <c r="M9" s="841"/>
      <c r="N9" s="841"/>
      <c r="O9" s="841"/>
      <c r="P9" s="841"/>
      <c r="Q9" s="841"/>
      <c r="R9" s="841"/>
      <c r="S9" s="841"/>
      <c r="T9" s="841"/>
      <c r="U9" s="841"/>
      <c r="V9" s="841"/>
      <c r="W9" s="841"/>
      <c r="X9" s="841"/>
      <c r="Y9" s="842"/>
      <c r="Z9" s="849" t="s">
        <v>139</v>
      </c>
      <c r="AA9" s="850"/>
      <c r="AB9" s="850"/>
      <c r="AC9" s="850"/>
      <c r="AD9" s="850"/>
      <c r="AE9" s="851"/>
      <c r="AF9" s="858">
        <v>210</v>
      </c>
      <c r="AG9" s="859"/>
      <c r="AH9" s="859"/>
      <c r="AI9" s="860"/>
    </row>
    <row r="10" spans="2:35">
      <c r="B10" s="834"/>
      <c r="C10" s="835"/>
      <c r="D10" s="835"/>
      <c r="E10" s="835"/>
      <c r="F10" s="835"/>
      <c r="G10" s="835"/>
      <c r="H10" s="836"/>
      <c r="I10" s="843"/>
      <c r="J10" s="844"/>
      <c r="K10" s="844"/>
      <c r="L10" s="844"/>
      <c r="M10" s="844"/>
      <c r="N10" s="844"/>
      <c r="O10" s="844"/>
      <c r="P10" s="844"/>
      <c r="Q10" s="844"/>
      <c r="R10" s="844"/>
      <c r="S10" s="844"/>
      <c r="T10" s="844"/>
      <c r="U10" s="844"/>
      <c r="V10" s="844"/>
      <c r="W10" s="844"/>
      <c r="X10" s="844"/>
      <c r="Y10" s="845"/>
      <c r="Z10" s="852"/>
      <c r="AA10" s="853"/>
      <c r="AB10" s="853"/>
      <c r="AC10" s="853"/>
      <c r="AD10" s="853"/>
      <c r="AE10" s="854"/>
      <c r="AF10" s="858"/>
      <c r="AG10" s="859"/>
      <c r="AH10" s="859"/>
      <c r="AI10" s="860"/>
    </row>
    <row r="11" spans="2:35">
      <c r="B11" s="834"/>
      <c r="C11" s="835"/>
      <c r="D11" s="835"/>
      <c r="E11" s="835"/>
      <c r="F11" s="835"/>
      <c r="G11" s="835"/>
      <c r="H11" s="836"/>
      <c r="I11" s="843"/>
      <c r="J11" s="844"/>
      <c r="K11" s="844"/>
      <c r="L11" s="844"/>
      <c r="M11" s="844"/>
      <c r="N11" s="844"/>
      <c r="O11" s="844"/>
      <c r="P11" s="844"/>
      <c r="Q11" s="844"/>
      <c r="R11" s="844"/>
      <c r="S11" s="844"/>
      <c r="T11" s="844"/>
      <c r="U11" s="844"/>
      <c r="V11" s="844"/>
      <c r="W11" s="844"/>
      <c r="X11" s="844"/>
      <c r="Y11" s="845"/>
      <c r="Z11" s="852"/>
      <c r="AA11" s="853"/>
      <c r="AB11" s="853"/>
      <c r="AC11" s="853"/>
      <c r="AD11" s="853"/>
      <c r="AE11" s="854"/>
      <c r="AF11" s="858"/>
      <c r="AG11" s="859"/>
      <c r="AH11" s="859"/>
      <c r="AI11" s="860"/>
    </row>
    <row r="12" spans="2:35" ht="15.75" thickBot="1">
      <c r="B12" s="837"/>
      <c r="C12" s="838"/>
      <c r="D12" s="838"/>
      <c r="E12" s="838"/>
      <c r="F12" s="838"/>
      <c r="G12" s="838"/>
      <c r="H12" s="839"/>
      <c r="I12" s="846"/>
      <c r="J12" s="847"/>
      <c r="K12" s="847"/>
      <c r="L12" s="847"/>
      <c r="M12" s="847"/>
      <c r="N12" s="847"/>
      <c r="O12" s="847"/>
      <c r="P12" s="847"/>
      <c r="Q12" s="847"/>
      <c r="R12" s="847"/>
      <c r="S12" s="847"/>
      <c r="T12" s="847"/>
      <c r="U12" s="847"/>
      <c r="V12" s="847"/>
      <c r="W12" s="847"/>
      <c r="X12" s="847"/>
      <c r="Y12" s="848"/>
      <c r="Z12" s="855"/>
      <c r="AA12" s="856"/>
      <c r="AB12" s="856"/>
      <c r="AC12" s="856"/>
      <c r="AD12" s="856"/>
      <c r="AE12" s="857"/>
      <c r="AF12" s="858"/>
      <c r="AG12" s="859"/>
      <c r="AH12" s="859"/>
      <c r="AI12" s="860"/>
    </row>
    <row r="13" spans="2:35" ht="15.75" thickBot="1">
      <c r="B13" s="861" t="s">
        <v>140</v>
      </c>
      <c r="C13" s="862"/>
      <c r="D13" s="863"/>
      <c r="E13" s="864">
        <v>2017</v>
      </c>
      <c r="F13" s="865"/>
      <c r="G13" s="866"/>
      <c r="H13" s="867"/>
      <c r="I13" s="868"/>
      <c r="J13" s="868"/>
      <c r="K13" s="868"/>
      <c r="L13" s="868"/>
      <c r="M13" s="868"/>
      <c r="N13" s="868"/>
      <c r="O13" s="868"/>
      <c r="P13" s="868"/>
      <c r="Q13" s="869"/>
      <c r="R13" s="30"/>
      <c r="S13" s="30"/>
      <c r="T13" s="870" t="s">
        <v>141</v>
      </c>
      <c r="U13" s="870"/>
      <c r="V13" s="870"/>
      <c r="W13" s="870"/>
      <c r="X13" s="870"/>
      <c r="Y13" s="870"/>
      <c r="Z13" s="870"/>
      <c r="AA13" s="870"/>
      <c r="AB13" s="870"/>
      <c r="AC13" s="870"/>
      <c r="AD13" s="870"/>
      <c r="AE13" s="870"/>
      <c r="AF13" s="870"/>
      <c r="AG13" s="870"/>
      <c r="AH13" s="870"/>
      <c r="AI13" s="871"/>
    </row>
    <row r="14" spans="2:35" ht="30.75" customHeight="1">
      <c r="B14" s="874" t="s">
        <v>142</v>
      </c>
      <c r="C14" s="876" t="s">
        <v>143</v>
      </c>
      <c r="D14" s="877"/>
      <c r="E14" s="877"/>
      <c r="F14" s="877"/>
      <c r="G14" s="877"/>
      <c r="H14" s="877"/>
      <c r="I14" s="878"/>
      <c r="J14" s="640" t="s">
        <v>144</v>
      </c>
      <c r="K14" s="879" t="s">
        <v>145</v>
      </c>
      <c r="L14" s="880"/>
      <c r="M14" s="880"/>
      <c r="N14" s="880"/>
      <c r="O14" s="880"/>
      <c r="P14" s="880"/>
      <c r="Q14" s="877" t="s">
        <v>146</v>
      </c>
      <c r="R14" s="877"/>
      <c r="S14" s="877"/>
      <c r="T14" s="877"/>
      <c r="U14" s="877"/>
      <c r="V14" s="877"/>
      <c r="W14" s="881" t="s">
        <v>147</v>
      </c>
      <c r="X14" s="881"/>
      <c r="Y14" s="881"/>
      <c r="Z14" s="881"/>
      <c r="AA14" s="881"/>
      <c r="AB14" s="881"/>
      <c r="AC14" s="881" t="s">
        <v>148</v>
      </c>
      <c r="AD14" s="881"/>
      <c r="AE14" s="881"/>
      <c r="AF14" s="881"/>
      <c r="AG14" s="881"/>
      <c r="AH14" s="881"/>
      <c r="AI14" s="117" t="s">
        <v>149</v>
      </c>
    </row>
    <row r="15" spans="2:35" ht="26.25" customHeight="1" thickBot="1">
      <c r="B15" s="875"/>
      <c r="C15" s="872">
        <f>+'Datos Contribuyente y Detalles'!D11</f>
        <v>0</v>
      </c>
      <c r="D15" s="873"/>
      <c r="E15" s="873"/>
      <c r="F15" s="873"/>
      <c r="G15" s="873"/>
      <c r="H15" s="873"/>
      <c r="I15" s="882"/>
      <c r="J15" s="540"/>
      <c r="K15" s="872">
        <f>+'Datos Contribuyente y Detalles'!D12</f>
        <v>0</v>
      </c>
      <c r="L15" s="873"/>
      <c r="M15" s="873"/>
      <c r="N15" s="873"/>
      <c r="O15" s="873"/>
      <c r="P15" s="873"/>
      <c r="Q15" s="872">
        <f>'Datos Contribuyente y Detalles'!D13</f>
        <v>0</v>
      </c>
      <c r="R15" s="873"/>
      <c r="S15" s="873"/>
      <c r="T15" s="873"/>
      <c r="U15" s="873"/>
      <c r="V15" s="873"/>
      <c r="W15" s="872">
        <f>'Datos Contribuyente y Detalles'!D14</f>
        <v>0</v>
      </c>
      <c r="X15" s="873"/>
      <c r="Y15" s="873"/>
      <c r="Z15" s="873"/>
      <c r="AA15" s="873"/>
      <c r="AB15" s="873"/>
      <c r="AC15" s="872">
        <f>'Datos Contribuyente y Detalles'!D15</f>
        <v>0</v>
      </c>
      <c r="AD15" s="873"/>
      <c r="AE15" s="873"/>
      <c r="AF15" s="873"/>
      <c r="AG15" s="873"/>
      <c r="AH15" s="873"/>
      <c r="AI15" s="33"/>
    </row>
    <row r="16" spans="2:35" ht="27" customHeight="1" thickBot="1">
      <c r="B16" s="883" t="s">
        <v>150</v>
      </c>
      <c r="C16" s="884"/>
      <c r="D16" s="872"/>
      <c r="E16" s="873"/>
      <c r="F16" s="873"/>
      <c r="G16" s="885" t="s">
        <v>151</v>
      </c>
      <c r="H16" s="886"/>
      <c r="I16" s="887"/>
      <c r="J16" s="888" t="s">
        <v>152</v>
      </c>
      <c r="K16" s="889"/>
      <c r="L16" s="34"/>
      <c r="M16" s="890" t="s">
        <v>153</v>
      </c>
      <c r="N16" s="891"/>
      <c r="O16" s="891"/>
      <c r="P16" s="891"/>
      <c r="Q16" s="892"/>
      <c r="R16" s="32"/>
      <c r="S16" s="34"/>
      <c r="T16" s="893"/>
      <c r="U16" s="894"/>
      <c r="V16" s="895"/>
      <c r="W16" s="896" t="s">
        <v>154</v>
      </c>
      <c r="X16" s="897"/>
      <c r="Y16" s="897"/>
      <c r="Z16" s="897"/>
      <c r="AA16" s="898"/>
      <c r="AB16" s="899"/>
      <c r="AC16" s="895"/>
      <c r="AD16" s="900" t="s">
        <v>155</v>
      </c>
      <c r="AE16" s="901"/>
      <c r="AF16" s="901"/>
      <c r="AG16" s="901"/>
      <c r="AH16" s="901"/>
      <c r="AI16" s="63"/>
    </row>
    <row r="17" spans="2:38" ht="26.1" customHeight="1" thickBot="1">
      <c r="B17" s="927" t="s">
        <v>156</v>
      </c>
      <c r="C17" s="930" t="s">
        <v>157</v>
      </c>
      <c r="D17" s="930"/>
      <c r="E17" s="930"/>
      <c r="F17" s="930"/>
      <c r="G17" s="930"/>
      <c r="H17" s="930"/>
      <c r="I17" s="930"/>
      <c r="J17" s="930"/>
      <c r="K17" s="930"/>
      <c r="L17" s="931"/>
      <c r="M17" s="101">
        <v>29</v>
      </c>
      <c r="N17" s="932">
        <f>ROUND(IF(+'Renta Presuntiva'!E43&gt;0,+'Renta Presuntiva'!E43,0),-3)</f>
        <v>0</v>
      </c>
      <c r="O17" s="933"/>
      <c r="P17" s="933"/>
      <c r="Q17" s="934"/>
      <c r="R17" s="35"/>
      <c r="S17" s="36"/>
      <c r="T17" s="935" t="s">
        <v>158</v>
      </c>
      <c r="U17" s="938" t="s">
        <v>159</v>
      </c>
      <c r="V17" s="939"/>
      <c r="W17" s="939"/>
      <c r="X17" s="939"/>
      <c r="Y17" s="939"/>
      <c r="Z17" s="939"/>
      <c r="AA17" s="939"/>
      <c r="AB17" s="939"/>
      <c r="AC17" s="939"/>
      <c r="AD17" s="940"/>
      <c r="AE17" s="111">
        <v>67</v>
      </c>
      <c r="AF17" s="941">
        <f>IF(+'Dividendos y Participaciones'!E14&gt;0,+'Dividendos y Participaciones'!E14,0)</f>
        <v>0</v>
      </c>
      <c r="AG17" s="942"/>
      <c r="AH17" s="942"/>
      <c r="AI17" s="943"/>
    </row>
    <row r="18" spans="2:38" ht="18.95" customHeight="1">
      <c r="B18" s="928"/>
      <c r="C18" s="919" t="s">
        <v>160</v>
      </c>
      <c r="D18" s="944"/>
      <c r="E18" s="944"/>
      <c r="F18" s="944"/>
      <c r="G18" s="944"/>
      <c r="H18" s="944"/>
      <c r="I18" s="944"/>
      <c r="J18" s="944"/>
      <c r="K18" s="944"/>
      <c r="L18" s="945"/>
      <c r="M18" s="102">
        <v>30</v>
      </c>
      <c r="N18" s="946">
        <f>ROUND(IF(+'Renta Presuntiva'!E45&gt;0,+'Renta Presuntiva'!E45,0),-3)</f>
        <v>0</v>
      </c>
      <c r="O18" s="947"/>
      <c r="P18" s="947"/>
      <c r="Q18" s="948"/>
      <c r="R18" s="31"/>
      <c r="S18" s="38"/>
      <c r="T18" s="936"/>
      <c r="U18" s="918" t="s">
        <v>161</v>
      </c>
      <c r="V18" s="919"/>
      <c r="W18" s="919"/>
      <c r="X18" s="919"/>
      <c r="Y18" s="919"/>
      <c r="Z18" s="919"/>
      <c r="AA18" s="919"/>
      <c r="AB18" s="919"/>
      <c r="AC18" s="919"/>
      <c r="AD18" s="920"/>
      <c r="AE18" s="102">
        <v>68</v>
      </c>
      <c r="AF18" s="921">
        <f>IF(-'Resumen Tributario'!G14&gt;0,-'Resumen Tributario'!G14,0)</f>
        <v>0</v>
      </c>
      <c r="AG18" s="922"/>
      <c r="AH18" s="922"/>
      <c r="AI18" s="923"/>
    </row>
    <row r="19" spans="2:38" ht="21.75" customHeight="1" thickBot="1">
      <c r="B19" s="929"/>
      <c r="C19" s="902" t="s">
        <v>162</v>
      </c>
      <c r="D19" s="902"/>
      <c r="E19" s="902"/>
      <c r="F19" s="902"/>
      <c r="G19" s="902"/>
      <c r="H19" s="902"/>
      <c r="I19" s="902"/>
      <c r="J19" s="902"/>
      <c r="K19" s="902"/>
      <c r="L19" s="903"/>
      <c r="M19" s="610">
        <v>31</v>
      </c>
      <c r="N19" s="904">
        <f>IF(N17-N18&gt;0,N17-N18,0)</f>
        <v>0</v>
      </c>
      <c r="O19" s="905"/>
      <c r="P19" s="905"/>
      <c r="Q19" s="906"/>
      <c r="R19" s="31"/>
      <c r="S19" s="38"/>
      <c r="T19" s="936"/>
      <c r="U19" s="907" t="s">
        <v>432</v>
      </c>
      <c r="V19" s="908"/>
      <c r="W19" s="908"/>
      <c r="X19" s="908"/>
      <c r="Y19" s="908"/>
      <c r="Z19" s="908"/>
      <c r="AA19" s="908"/>
      <c r="AB19" s="908"/>
      <c r="AC19" s="908"/>
      <c r="AD19" s="909"/>
      <c r="AE19" s="103">
        <v>69</v>
      </c>
      <c r="AF19" s="910">
        <f>AF17-AF18</f>
        <v>0</v>
      </c>
      <c r="AG19" s="911"/>
      <c r="AH19" s="911"/>
      <c r="AI19" s="912"/>
    </row>
    <row r="20" spans="2:38" ht="17.25" customHeight="1">
      <c r="B20" s="913" t="s">
        <v>163</v>
      </c>
      <c r="C20" s="915" t="s">
        <v>164</v>
      </c>
      <c r="D20" s="916"/>
      <c r="E20" s="916"/>
      <c r="F20" s="916"/>
      <c r="G20" s="916"/>
      <c r="H20" s="916"/>
      <c r="I20" s="916"/>
      <c r="J20" s="916"/>
      <c r="K20" s="916"/>
      <c r="L20" s="916"/>
      <c r="M20" s="611">
        <v>32</v>
      </c>
      <c r="N20" s="917">
        <f>ROUND(IF('Resumen Tributario'!C13&gt;0,'Resumen Tributario'!C13,0),-3)</f>
        <v>0</v>
      </c>
      <c r="O20" s="917"/>
      <c r="P20" s="917"/>
      <c r="Q20" s="917"/>
      <c r="R20" s="31"/>
      <c r="S20" s="38"/>
      <c r="T20" s="936"/>
      <c r="U20" s="918" t="s">
        <v>165</v>
      </c>
      <c r="V20" s="919"/>
      <c r="W20" s="919"/>
      <c r="X20" s="919"/>
      <c r="Y20" s="919"/>
      <c r="Z20" s="919"/>
      <c r="AA20" s="919"/>
      <c r="AB20" s="919"/>
      <c r="AC20" s="919"/>
      <c r="AD20" s="920"/>
      <c r="AE20" s="102">
        <v>70</v>
      </c>
      <c r="AF20" s="921">
        <f>IF('Dividendos y Participaciones'!E22&gt;0,'Dividendos y Participaciones'!E22,0)</f>
        <v>0</v>
      </c>
      <c r="AG20" s="922"/>
      <c r="AH20" s="922"/>
      <c r="AI20" s="923"/>
    </row>
    <row r="21" spans="2:38" ht="24" customHeight="1">
      <c r="B21" s="913"/>
      <c r="C21" s="924" t="s">
        <v>161</v>
      </c>
      <c r="D21" s="925"/>
      <c r="E21" s="925"/>
      <c r="F21" s="925"/>
      <c r="G21" s="925"/>
      <c r="H21" s="925"/>
      <c r="I21" s="925"/>
      <c r="J21" s="925"/>
      <c r="K21" s="925"/>
      <c r="L21" s="926"/>
      <c r="M21" s="104">
        <v>33</v>
      </c>
      <c r="N21" s="917">
        <f>ROUND(IF(-'Resumen Tributario'!C14&gt;0,-'Resumen Tributario'!C14,0),-3)</f>
        <v>0</v>
      </c>
      <c r="O21" s="917"/>
      <c r="P21" s="917"/>
      <c r="Q21" s="972"/>
      <c r="R21" s="39">
        <v>0</v>
      </c>
      <c r="S21" s="40" t="s">
        <v>166</v>
      </c>
      <c r="T21" s="936"/>
      <c r="U21" s="955" t="s">
        <v>167</v>
      </c>
      <c r="V21" s="951"/>
      <c r="W21" s="951"/>
      <c r="X21" s="951"/>
      <c r="Y21" s="951"/>
      <c r="Z21" s="951"/>
      <c r="AA21" s="951"/>
      <c r="AB21" s="951"/>
      <c r="AC21" s="951"/>
      <c r="AD21" s="956"/>
      <c r="AE21" s="101">
        <v>71</v>
      </c>
      <c r="AF21" s="957">
        <f>IF('Dividendos y Participaciones'!E30&gt;0,'Dividendos y Participaciones'!E30,0)</f>
        <v>0</v>
      </c>
      <c r="AG21" s="958"/>
      <c r="AH21" s="958"/>
      <c r="AI21" s="959"/>
    </row>
    <row r="22" spans="2:38" ht="26.25" customHeight="1">
      <c r="B22" s="913"/>
      <c r="C22" s="960" t="s">
        <v>425</v>
      </c>
      <c r="D22" s="961"/>
      <c r="E22" s="961"/>
      <c r="F22" s="961"/>
      <c r="G22" s="961"/>
      <c r="H22" s="961"/>
      <c r="I22" s="961"/>
      <c r="J22" s="961"/>
      <c r="K22" s="961"/>
      <c r="L22" s="962"/>
      <c r="M22" s="105">
        <v>34</v>
      </c>
      <c r="N22" s="964">
        <f>IF(N20-N21&gt;0,N20-N21,0)</f>
        <v>0</v>
      </c>
      <c r="O22" s="973"/>
      <c r="P22" s="973"/>
      <c r="Q22" s="965"/>
      <c r="R22" s="39">
        <v>0</v>
      </c>
      <c r="S22" s="40" t="s">
        <v>168</v>
      </c>
      <c r="T22" s="936"/>
      <c r="U22" s="918" t="s">
        <v>169</v>
      </c>
      <c r="V22" s="919"/>
      <c r="W22" s="919"/>
      <c r="X22" s="919"/>
      <c r="Y22" s="919"/>
      <c r="Z22" s="919"/>
      <c r="AA22" s="919"/>
      <c r="AB22" s="919"/>
      <c r="AC22" s="919"/>
      <c r="AD22" s="920"/>
      <c r="AE22" s="102">
        <v>72</v>
      </c>
      <c r="AF22" s="921">
        <f>ROUND(+'Anticipos y Otros'!D43,-3)</f>
        <v>0</v>
      </c>
      <c r="AG22" s="922"/>
      <c r="AH22" s="922"/>
      <c r="AI22" s="923"/>
    </row>
    <row r="23" spans="2:38" ht="27.75" customHeight="1">
      <c r="B23" s="913"/>
      <c r="C23" s="949" t="s">
        <v>170</v>
      </c>
      <c r="D23" s="950"/>
      <c r="E23" s="950"/>
      <c r="F23" s="950"/>
      <c r="G23" s="950"/>
      <c r="H23" s="950"/>
      <c r="I23" s="950"/>
      <c r="J23" s="950"/>
      <c r="K23" s="950"/>
      <c r="L23" s="951"/>
      <c r="M23" s="106">
        <v>35</v>
      </c>
      <c r="N23" s="952">
        <f>IF(-ROUND('Resumen Tributario'!C18+'Resumen Tributario'!C19,-3)&gt;0,-ROUND('Resumen Tributario'!C18+'Resumen Tributario'!C19,-3),0)</f>
        <v>0</v>
      </c>
      <c r="O23" s="953"/>
      <c r="P23" s="953"/>
      <c r="Q23" s="954"/>
      <c r="R23" s="31"/>
      <c r="S23" s="38" t="s">
        <v>171</v>
      </c>
      <c r="T23" s="936"/>
      <c r="U23" s="955" t="s">
        <v>435</v>
      </c>
      <c r="V23" s="951"/>
      <c r="W23" s="951"/>
      <c r="X23" s="951"/>
      <c r="Y23" s="951"/>
      <c r="Z23" s="951"/>
      <c r="AA23" s="951"/>
      <c r="AB23" s="951"/>
      <c r="AC23" s="951"/>
      <c r="AD23" s="956"/>
      <c r="AE23" s="101">
        <v>73</v>
      </c>
      <c r="AF23" s="957">
        <f>ROUND(+'Anticipos y Otros'!D44,-3)</f>
        <v>0</v>
      </c>
      <c r="AG23" s="958"/>
      <c r="AH23" s="958"/>
      <c r="AI23" s="959"/>
    </row>
    <row r="24" spans="2:38" ht="26.25" customHeight="1" thickBot="1">
      <c r="B24" s="913"/>
      <c r="C24" s="960" t="s">
        <v>426</v>
      </c>
      <c r="D24" s="961"/>
      <c r="E24" s="961"/>
      <c r="F24" s="961"/>
      <c r="G24" s="961"/>
      <c r="H24" s="961"/>
      <c r="I24" s="961"/>
      <c r="J24" s="961"/>
      <c r="K24" s="961"/>
      <c r="L24" s="962"/>
      <c r="M24" s="105">
        <v>36</v>
      </c>
      <c r="N24" s="963">
        <f>ROUND(IF(-('Resumen Tributario'!C18+'Resumen Tributario'!C19+'Resumen Tributario'!C20)&gt;0,-('Resumen Tributario'!C18+'Resumen Tributario'!C19+'Resumen Tributario'!C20),0),-3)</f>
        <v>0</v>
      </c>
      <c r="O24" s="964"/>
      <c r="P24" s="964"/>
      <c r="Q24" s="965"/>
      <c r="R24" s="39"/>
      <c r="S24" s="38"/>
      <c r="T24" s="937"/>
      <c r="U24" s="966" t="s">
        <v>172</v>
      </c>
      <c r="V24" s="967"/>
      <c r="W24" s="967"/>
      <c r="X24" s="967"/>
      <c r="Y24" s="967"/>
      <c r="Z24" s="967"/>
      <c r="AA24" s="967"/>
      <c r="AB24" s="967"/>
      <c r="AC24" s="967"/>
      <c r="AD24" s="968"/>
      <c r="AE24" s="112">
        <v>74</v>
      </c>
      <c r="AF24" s="969">
        <f>IF(AF19+AF20+AF21+AF22-AF23&gt;0,AF19+AF20+AF21+AF22-AF23,0)</f>
        <v>0</v>
      </c>
      <c r="AG24" s="970"/>
      <c r="AH24" s="970"/>
      <c r="AI24" s="971"/>
      <c r="AL24" s="121">
        <f>658000-708000</f>
        <v>-50000</v>
      </c>
    </row>
    <row r="25" spans="2:38" ht="18.95" customHeight="1" thickBot="1">
      <c r="B25" s="914"/>
      <c r="C25" s="974" t="s">
        <v>173</v>
      </c>
      <c r="D25" s="975"/>
      <c r="E25" s="975"/>
      <c r="F25" s="975"/>
      <c r="G25" s="975"/>
      <c r="H25" s="975"/>
      <c r="I25" s="975"/>
      <c r="J25" s="975"/>
      <c r="K25" s="975"/>
      <c r="L25" s="975"/>
      <c r="M25" s="107">
        <v>37</v>
      </c>
      <c r="N25" s="976">
        <f>IF(N22-N24&gt;0,N22-N24,0)</f>
        <v>0</v>
      </c>
      <c r="O25" s="976"/>
      <c r="P25" s="976"/>
      <c r="Q25" s="977"/>
      <c r="R25" s="41">
        <v>0</v>
      </c>
      <c r="S25" s="42">
        <v>20000000</v>
      </c>
      <c r="T25" s="978" t="s">
        <v>174</v>
      </c>
      <c r="U25" s="980" t="s">
        <v>175</v>
      </c>
      <c r="V25" s="908"/>
      <c r="W25" s="908"/>
      <c r="X25" s="908"/>
      <c r="Y25" s="908"/>
      <c r="Z25" s="908"/>
      <c r="AA25" s="908"/>
      <c r="AB25" s="908"/>
      <c r="AC25" s="908"/>
      <c r="AD25" s="909"/>
      <c r="AE25" s="103">
        <v>75</v>
      </c>
      <c r="AF25" s="981">
        <f>N25+N30+N41+N54+AF24</f>
        <v>0</v>
      </c>
      <c r="AG25" s="982"/>
      <c r="AH25" s="982"/>
      <c r="AI25" s="983"/>
    </row>
    <row r="26" spans="2:38" ht="18.95" customHeight="1" thickBot="1">
      <c r="B26" s="984" t="s">
        <v>176</v>
      </c>
      <c r="C26" s="915" t="s">
        <v>177</v>
      </c>
      <c r="D26" s="916"/>
      <c r="E26" s="916"/>
      <c r="F26" s="916"/>
      <c r="G26" s="916"/>
      <c r="H26" s="916"/>
      <c r="I26" s="916"/>
      <c r="J26" s="916"/>
      <c r="K26" s="916"/>
      <c r="L26" s="987"/>
      <c r="M26" s="102">
        <v>38</v>
      </c>
      <c r="N26" s="988">
        <f>ROUND(IF('Resumen Tributario'!D13&gt;0,'Resumen Tributario'!D13,0),-3)</f>
        <v>0</v>
      </c>
      <c r="O26" s="989"/>
      <c r="P26" s="989"/>
      <c r="Q26" s="990"/>
      <c r="R26" s="31"/>
      <c r="S26" s="42">
        <v>160569000</v>
      </c>
      <c r="T26" s="979"/>
      <c r="U26" s="991" t="s">
        <v>178</v>
      </c>
      <c r="V26" s="992"/>
      <c r="W26" s="992"/>
      <c r="X26" s="992"/>
      <c r="Y26" s="992"/>
      <c r="Z26" s="992"/>
      <c r="AA26" s="992"/>
      <c r="AB26" s="992"/>
      <c r="AC26" s="992"/>
      <c r="AD26" s="993"/>
      <c r="AE26" s="113">
        <v>76</v>
      </c>
      <c r="AF26" s="994">
        <f>IF(+'Renta Presuntiva'!D86&gt;0,+'Renta Presuntiva'!D86,0)</f>
        <v>0</v>
      </c>
      <c r="AG26" s="995"/>
      <c r="AH26" s="995"/>
      <c r="AI26" s="996"/>
    </row>
    <row r="27" spans="2:38" ht="18.95" customHeight="1">
      <c r="B27" s="985"/>
      <c r="C27" s="949" t="s">
        <v>161</v>
      </c>
      <c r="D27" s="950"/>
      <c r="E27" s="950"/>
      <c r="F27" s="950"/>
      <c r="G27" s="950"/>
      <c r="H27" s="950"/>
      <c r="I27" s="950"/>
      <c r="J27" s="950"/>
      <c r="K27" s="950"/>
      <c r="L27" s="956"/>
      <c r="M27" s="101">
        <v>39</v>
      </c>
      <c r="N27" s="1012">
        <f>ROUND(IF(-'Resumen Tributario'!D14&gt;0,-'Resumen Tributario'!D14,0),-3)</f>
        <v>0</v>
      </c>
      <c r="O27" s="953"/>
      <c r="P27" s="953"/>
      <c r="Q27" s="954"/>
      <c r="R27" s="31"/>
      <c r="S27" s="38"/>
      <c r="T27" s="978" t="s">
        <v>179</v>
      </c>
      <c r="U27" s="1014" t="s">
        <v>180</v>
      </c>
      <c r="V27" s="1015"/>
      <c r="W27" s="1015"/>
      <c r="X27" s="1015"/>
      <c r="Y27" s="1015"/>
      <c r="Z27" s="1015"/>
      <c r="AA27" s="1015"/>
      <c r="AB27" s="1015"/>
      <c r="AC27" s="1015"/>
      <c r="AD27" s="1016"/>
      <c r="AE27" s="101">
        <v>77</v>
      </c>
      <c r="AF27" s="1017">
        <f>'Imp. Ganancia Ocasional'!E21</f>
        <v>0</v>
      </c>
      <c r="AG27" s="1018"/>
      <c r="AH27" s="1018"/>
      <c r="AI27" s="1019"/>
    </row>
    <row r="28" spans="2:38" s="124" customFormat="1" ht="18.95" customHeight="1">
      <c r="B28" s="985"/>
      <c r="C28" s="960" t="s">
        <v>181</v>
      </c>
      <c r="D28" s="961"/>
      <c r="E28" s="961"/>
      <c r="F28" s="961"/>
      <c r="G28" s="961"/>
      <c r="H28" s="961"/>
      <c r="I28" s="961"/>
      <c r="J28" s="961"/>
      <c r="K28" s="961"/>
      <c r="L28" s="1020"/>
      <c r="M28" s="108">
        <v>40</v>
      </c>
      <c r="N28" s="1021">
        <f>IF(N26-N27&gt;0,N26-N27,0)</f>
        <v>0</v>
      </c>
      <c r="O28" s="1022"/>
      <c r="P28" s="1022"/>
      <c r="Q28" s="1023"/>
      <c r="R28" s="115"/>
      <c r="S28" s="116"/>
      <c r="T28" s="1013"/>
      <c r="U28" s="1024" t="s">
        <v>182</v>
      </c>
      <c r="V28" s="944"/>
      <c r="W28" s="944"/>
      <c r="X28" s="944"/>
      <c r="Y28" s="944"/>
      <c r="Z28" s="944"/>
      <c r="AA28" s="944"/>
      <c r="AB28" s="944"/>
      <c r="AC28" s="944"/>
      <c r="AD28" s="920"/>
      <c r="AE28" s="102">
        <v>78</v>
      </c>
      <c r="AF28" s="1025">
        <f>'Imp. Ganancia Ocasional'!E24</f>
        <v>0</v>
      </c>
      <c r="AG28" s="1026"/>
      <c r="AH28" s="1026"/>
      <c r="AI28" s="1027"/>
    </row>
    <row r="29" spans="2:38" ht="18.95" customHeight="1">
      <c r="B29" s="985"/>
      <c r="C29" s="949" t="s">
        <v>183</v>
      </c>
      <c r="D29" s="950"/>
      <c r="E29" s="950"/>
      <c r="F29" s="950"/>
      <c r="G29" s="950"/>
      <c r="H29" s="950"/>
      <c r="I29" s="950"/>
      <c r="J29" s="950"/>
      <c r="K29" s="950"/>
      <c r="L29" s="956"/>
      <c r="M29" s="101">
        <v>41</v>
      </c>
      <c r="N29" s="997">
        <f>ROUND(IF(-('Resumen Tributario'!D19)&gt;0,-('Resumen Tributario'!D19),0),-3)</f>
        <v>0</v>
      </c>
      <c r="O29" s="998"/>
      <c r="P29" s="998"/>
      <c r="Q29" s="999"/>
      <c r="R29" s="31"/>
      <c r="S29" s="38"/>
      <c r="T29" s="1013"/>
      <c r="U29" s="949" t="s">
        <v>184</v>
      </c>
      <c r="V29" s="950"/>
      <c r="W29" s="950"/>
      <c r="X29" s="950"/>
      <c r="Y29" s="950"/>
      <c r="Z29" s="950"/>
      <c r="AA29" s="950"/>
      <c r="AB29" s="950"/>
      <c r="AC29" s="950"/>
      <c r="AD29" s="956"/>
      <c r="AE29" s="101">
        <v>79</v>
      </c>
      <c r="AF29" s="1000">
        <f>'Imp. Ganancia Ocasional'!E32</f>
        <v>0</v>
      </c>
      <c r="AG29" s="1001"/>
      <c r="AH29" s="1001"/>
      <c r="AI29" s="1002"/>
    </row>
    <row r="30" spans="2:38" ht="18.95" customHeight="1" thickBot="1">
      <c r="B30" s="986"/>
      <c r="C30" s="1003" t="s">
        <v>185</v>
      </c>
      <c r="D30" s="1004"/>
      <c r="E30" s="1004"/>
      <c r="F30" s="1004"/>
      <c r="G30" s="1004"/>
      <c r="H30" s="1004"/>
      <c r="I30" s="1004"/>
      <c r="J30" s="1004"/>
      <c r="K30" s="1004"/>
      <c r="L30" s="1005"/>
      <c r="M30" s="109">
        <v>42</v>
      </c>
      <c r="N30" s="1006">
        <f>IF(N28-N29&gt;0,N28-N29,0)</f>
        <v>0</v>
      </c>
      <c r="O30" s="1007"/>
      <c r="P30" s="1007"/>
      <c r="Q30" s="1008"/>
      <c r="R30" s="31"/>
      <c r="S30" s="43">
        <v>382308000</v>
      </c>
      <c r="T30" s="979"/>
      <c r="U30" s="1003" t="s">
        <v>186</v>
      </c>
      <c r="V30" s="1004"/>
      <c r="W30" s="1004"/>
      <c r="X30" s="1004"/>
      <c r="Y30" s="1004"/>
      <c r="Z30" s="1004"/>
      <c r="AA30" s="1004"/>
      <c r="AB30" s="1004"/>
      <c r="AC30" s="1004"/>
      <c r="AD30" s="1005"/>
      <c r="AE30" s="109">
        <v>80</v>
      </c>
      <c r="AF30" s="1009">
        <f>IF(AF27-AF28-AF29&gt;0,AF27-AF28-AF29,0)</f>
        <v>0</v>
      </c>
      <c r="AG30" s="1010"/>
      <c r="AH30" s="1010"/>
      <c r="AI30" s="1011"/>
    </row>
    <row r="31" spans="2:38" ht="20.25" customHeight="1">
      <c r="B31" s="984" t="s">
        <v>187</v>
      </c>
      <c r="C31" s="1014" t="s">
        <v>188</v>
      </c>
      <c r="D31" s="1015"/>
      <c r="E31" s="1015"/>
      <c r="F31" s="1015"/>
      <c r="G31" s="1015"/>
      <c r="H31" s="1015"/>
      <c r="I31" s="1015"/>
      <c r="J31" s="1015"/>
      <c r="K31" s="1015"/>
      <c r="L31" s="1016"/>
      <c r="M31" s="641">
        <v>43</v>
      </c>
      <c r="N31" s="932">
        <f>ROUND(IF('Resumen Tributario'!E13&gt;0,'Resumen Tributario'!E13,0),-3)</f>
        <v>0</v>
      </c>
      <c r="O31" s="933"/>
      <c r="P31" s="933"/>
      <c r="Q31" s="934"/>
      <c r="R31" s="31"/>
      <c r="S31" s="38" t="s">
        <v>189</v>
      </c>
      <c r="T31" s="978" t="s">
        <v>190</v>
      </c>
      <c r="U31" s="1028" t="s">
        <v>191</v>
      </c>
      <c r="V31" s="1014" t="s">
        <v>192</v>
      </c>
      <c r="W31" s="1015"/>
      <c r="X31" s="1015"/>
      <c r="Y31" s="1015"/>
      <c r="Z31" s="1015"/>
      <c r="AA31" s="1015"/>
      <c r="AB31" s="1015"/>
      <c r="AC31" s="1015"/>
      <c r="AD31" s="1016"/>
      <c r="AE31" s="101">
        <v>81</v>
      </c>
      <c r="AF31" s="1017">
        <f>SUM('Resumen Tributario'!C23:D23)</f>
        <v>0</v>
      </c>
      <c r="AG31" s="1018"/>
      <c r="AH31" s="1018"/>
      <c r="AI31" s="1019"/>
    </row>
    <row r="32" spans="2:38" ht="18.75" customHeight="1">
      <c r="B32" s="985"/>
      <c r="C32" s="1024" t="s">
        <v>161</v>
      </c>
      <c r="D32" s="944"/>
      <c r="E32" s="944"/>
      <c r="F32" s="944"/>
      <c r="G32" s="944"/>
      <c r="H32" s="944"/>
      <c r="I32" s="944"/>
      <c r="J32" s="944"/>
      <c r="K32" s="944"/>
      <c r="L32" s="920"/>
      <c r="M32" s="102">
        <v>44</v>
      </c>
      <c r="N32" s="946">
        <f>ROUND(IF(-'Resumen Tributario'!E14&gt;0,-'Resumen Tributario'!E14,0),-3)</f>
        <v>0</v>
      </c>
      <c r="O32" s="947"/>
      <c r="P32" s="947"/>
      <c r="Q32" s="948"/>
      <c r="R32" s="31"/>
      <c r="S32" s="38"/>
      <c r="T32" s="1013"/>
      <c r="U32" s="1029"/>
      <c r="V32" s="1024" t="s">
        <v>193</v>
      </c>
      <c r="W32" s="944"/>
      <c r="X32" s="944"/>
      <c r="Y32" s="944"/>
      <c r="Z32" s="944"/>
      <c r="AA32" s="944"/>
      <c r="AB32" s="944"/>
      <c r="AC32" s="944"/>
      <c r="AD32" s="920"/>
      <c r="AE32" s="102">
        <v>82</v>
      </c>
      <c r="AF32" s="1025">
        <f>SUM('Resumen Tributario'!E23:F23)</f>
        <v>0</v>
      </c>
      <c r="AG32" s="1026"/>
      <c r="AH32" s="1026"/>
      <c r="AI32" s="1027"/>
    </row>
    <row r="33" spans="2:35" ht="29.25" customHeight="1">
      <c r="B33" s="985"/>
      <c r="C33" s="949" t="s">
        <v>194</v>
      </c>
      <c r="D33" s="950"/>
      <c r="E33" s="950"/>
      <c r="F33" s="950"/>
      <c r="G33" s="950"/>
      <c r="H33" s="950"/>
      <c r="I33" s="950"/>
      <c r="J33" s="950"/>
      <c r="K33" s="950"/>
      <c r="L33" s="956"/>
      <c r="M33" s="101">
        <v>45</v>
      </c>
      <c r="N33" s="1012">
        <f>ROUND(IF(-('Resumen Tributario'!E15+'Resumen Tributario'!E16)&gt;0,-('Resumen Tributario'!E15+'Resumen Tributario'!E16),0),-3)</f>
        <v>0</v>
      </c>
      <c r="O33" s="953"/>
      <c r="P33" s="953"/>
      <c r="Q33" s="954"/>
      <c r="R33" s="31"/>
      <c r="S33" s="38"/>
      <c r="T33" s="1013"/>
      <c r="U33" s="1029"/>
      <c r="V33" s="949" t="s">
        <v>195</v>
      </c>
      <c r="W33" s="950"/>
      <c r="X33" s="950"/>
      <c r="Y33" s="950"/>
      <c r="Z33" s="950"/>
      <c r="AA33" s="950"/>
      <c r="AB33" s="950"/>
      <c r="AC33" s="950"/>
      <c r="AD33" s="956"/>
      <c r="AE33" s="101">
        <v>83</v>
      </c>
      <c r="AF33" s="957">
        <f>+'Dividendos y Participaciones'!E43</f>
        <v>0</v>
      </c>
      <c r="AG33" s="958"/>
      <c r="AH33" s="958"/>
      <c r="AI33" s="1033"/>
    </row>
    <row r="34" spans="2:35" ht="37.5" customHeight="1">
      <c r="B34" s="985"/>
      <c r="C34" s="960" t="s">
        <v>427</v>
      </c>
      <c r="D34" s="961"/>
      <c r="E34" s="961"/>
      <c r="F34" s="961"/>
      <c r="G34" s="961"/>
      <c r="H34" s="961"/>
      <c r="I34" s="961"/>
      <c r="J34" s="961"/>
      <c r="K34" s="961"/>
      <c r="L34" s="1020"/>
      <c r="M34" s="108">
        <v>46</v>
      </c>
      <c r="N34" s="1031">
        <f>IF(N31-N32-N33&gt;0,N31-N32-N33,0)</f>
        <v>0</v>
      </c>
      <c r="O34" s="973"/>
      <c r="P34" s="973"/>
      <c r="Q34" s="965"/>
      <c r="R34" s="31"/>
      <c r="S34" s="38"/>
      <c r="T34" s="1013"/>
      <c r="U34" s="1029"/>
      <c r="V34" s="1024" t="s">
        <v>196</v>
      </c>
      <c r="W34" s="944"/>
      <c r="X34" s="944"/>
      <c r="Y34" s="944"/>
      <c r="Z34" s="944"/>
      <c r="AA34" s="944"/>
      <c r="AB34" s="944"/>
      <c r="AC34" s="944"/>
      <c r="AD34" s="920"/>
      <c r="AE34" s="102">
        <v>84</v>
      </c>
      <c r="AF34" s="921">
        <f>'Dividendos y Participaciones'!E28</f>
        <v>0</v>
      </c>
      <c r="AG34" s="922"/>
      <c r="AH34" s="922"/>
      <c r="AI34" s="1040"/>
    </row>
    <row r="35" spans="2:35" ht="46.5" customHeight="1" thickBot="1">
      <c r="B35" s="985"/>
      <c r="C35" s="1041" t="s">
        <v>197</v>
      </c>
      <c r="D35" s="1042"/>
      <c r="E35" s="1042"/>
      <c r="F35" s="1042"/>
      <c r="G35" s="1042"/>
      <c r="H35" s="1042"/>
      <c r="I35" s="1042"/>
      <c r="J35" s="1042"/>
      <c r="K35" s="1042"/>
      <c r="L35" s="1043"/>
      <c r="M35" s="541">
        <v>47</v>
      </c>
      <c r="N35" s="1044">
        <f>ROUND(+'Anticipos y Otros'!D41,-3)</f>
        <v>0</v>
      </c>
      <c r="O35" s="1045"/>
      <c r="P35" s="1045"/>
      <c r="Q35" s="1046"/>
      <c r="R35" s="44">
        <v>0</v>
      </c>
      <c r="S35" s="45">
        <v>0</v>
      </c>
      <c r="T35" s="1013"/>
      <c r="U35" s="1030"/>
      <c r="V35" s="1047" t="s">
        <v>198</v>
      </c>
      <c r="W35" s="1048"/>
      <c r="X35" s="1048"/>
      <c r="Y35" s="1048"/>
      <c r="Z35" s="1048"/>
      <c r="AA35" s="1048"/>
      <c r="AB35" s="1048"/>
      <c r="AC35" s="1048"/>
      <c r="AD35" s="1049"/>
      <c r="AE35" s="114">
        <v>85</v>
      </c>
      <c r="AF35" s="1037">
        <f>'Dividendos y Participaciones'!E31+'Dividendos y Participaciones'!E39</f>
        <v>0</v>
      </c>
      <c r="AG35" s="1038"/>
      <c r="AH35" s="1038"/>
      <c r="AI35" s="1039"/>
    </row>
    <row r="36" spans="2:35" ht="18.95" customHeight="1">
      <c r="B36" s="985"/>
      <c r="C36" s="1024" t="s">
        <v>199</v>
      </c>
      <c r="D36" s="944"/>
      <c r="E36" s="944"/>
      <c r="F36" s="944"/>
      <c r="G36" s="944"/>
      <c r="H36" s="944"/>
      <c r="I36" s="944"/>
      <c r="J36" s="944"/>
      <c r="K36" s="944"/>
      <c r="L36" s="920"/>
      <c r="M36" s="102">
        <v>48</v>
      </c>
      <c r="N36" s="946">
        <f>ROUND(IF(-('Resumen Tributario'!E18+'Resumen Tributario'!E19)&gt;0,-('Resumen Tributario'!E18+'Resumen Tributario'!E19),0),-3)</f>
        <v>0</v>
      </c>
      <c r="O36" s="947"/>
      <c r="P36" s="947"/>
      <c r="Q36" s="948"/>
      <c r="R36" s="44">
        <v>0</v>
      </c>
      <c r="S36" s="43">
        <v>31859000</v>
      </c>
      <c r="T36" s="1013"/>
      <c r="U36" s="1050" t="s">
        <v>433</v>
      </c>
      <c r="V36" s="1051"/>
      <c r="W36" s="1051"/>
      <c r="X36" s="1051"/>
      <c r="Y36" s="1051"/>
      <c r="Z36" s="1051"/>
      <c r="AA36" s="1051"/>
      <c r="AB36" s="1051"/>
      <c r="AC36" s="1051"/>
      <c r="AD36" s="1052"/>
      <c r="AE36" s="108">
        <v>86</v>
      </c>
      <c r="AF36" s="1053">
        <f>SUM(AF31:AI35)</f>
        <v>0</v>
      </c>
      <c r="AG36" s="1054"/>
      <c r="AH36" s="1054"/>
      <c r="AI36" s="1055"/>
    </row>
    <row r="37" spans="2:35" ht="18.95" customHeight="1" thickBot="1">
      <c r="B37" s="985"/>
      <c r="C37" s="980" t="s">
        <v>428</v>
      </c>
      <c r="D37" s="1032"/>
      <c r="E37" s="1032"/>
      <c r="F37" s="1032"/>
      <c r="G37" s="1032"/>
      <c r="H37" s="1032"/>
      <c r="I37" s="1032"/>
      <c r="J37" s="1032"/>
      <c r="K37" s="1032"/>
      <c r="L37" s="909"/>
      <c r="M37" s="103">
        <v>49</v>
      </c>
      <c r="N37" s="1034">
        <f>ROUND(IF('Rentas de capital y No Laborale'!E37&gt;0,'Rentas de capital y No Laborale'!E37,0),-3)</f>
        <v>0</v>
      </c>
      <c r="O37" s="1035"/>
      <c r="P37" s="1035"/>
      <c r="Q37" s="1036"/>
      <c r="R37" s="44">
        <v>0</v>
      </c>
      <c r="S37" s="38"/>
      <c r="T37" s="1013"/>
      <c r="U37" s="949" t="s">
        <v>200</v>
      </c>
      <c r="V37" s="950"/>
      <c r="W37" s="950"/>
      <c r="X37" s="950"/>
      <c r="Y37" s="950"/>
      <c r="Z37" s="950"/>
      <c r="AA37" s="950"/>
      <c r="AB37" s="950"/>
      <c r="AC37" s="950"/>
      <c r="AD37" s="956"/>
      <c r="AE37" s="101">
        <v>87</v>
      </c>
      <c r="AF37" s="1037">
        <f>+'Renta Presuntiva'!D94</f>
        <v>0</v>
      </c>
      <c r="AG37" s="1038"/>
      <c r="AH37" s="1038"/>
      <c r="AI37" s="1039"/>
    </row>
    <row r="38" spans="2:35" ht="29.1" customHeight="1" thickBot="1">
      <c r="B38" s="985"/>
      <c r="C38" s="960" t="s">
        <v>201</v>
      </c>
      <c r="D38" s="961"/>
      <c r="E38" s="961"/>
      <c r="F38" s="961"/>
      <c r="G38" s="961"/>
      <c r="H38" s="961"/>
      <c r="I38" s="961"/>
      <c r="J38" s="961"/>
      <c r="K38" s="961"/>
      <c r="L38" s="1020"/>
      <c r="M38" s="108">
        <v>50</v>
      </c>
      <c r="N38" s="1031">
        <f>IF(N31+N35-N32-N33-N37&lt;0,0,N31+N35-N32-N33-N37)</f>
        <v>0</v>
      </c>
      <c r="O38" s="973"/>
      <c r="P38" s="973"/>
      <c r="Q38" s="965"/>
      <c r="R38" s="31"/>
      <c r="S38" s="38"/>
      <c r="T38" s="1013"/>
      <c r="U38" s="1003" t="s">
        <v>202</v>
      </c>
      <c r="V38" s="1004"/>
      <c r="W38" s="1004"/>
      <c r="X38" s="1004"/>
      <c r="Y38" s="1004"/>
      <c r="Z38" s="1004"/>
      <c r="AA38" s="1004"/>
      <c r="AB38" s="1004"/>
      <c r="AC38" s="1004"/>
      <c r="AD38" s="1005"/>
      <c r="AE38" s="109">
        <v>88</v>
      </c>
      <c r="AF38" s="1009">
        <f>IF(AF36&gt;AF37,AF36,AF37)</f>
        <v>0</v>
      </c>
      <c r="AG38" s="1010"/>
      <c r="AH38" s="1010"/>
      <c r="AI38" s="1011"/>
    </row>
    <row r="39" spans="2:35" ht="27" customHeight="1">
      <c r="B39" s="985"/>
      <c r="C39" s="980" t="s">
        <v>203</v>
      </c>
      <c r="D39" s="1032"/>
      <c r="E39" s="1032"/>
      <c r="F39" s="1032"/>
      <c r="G39" s="1032"/>
      <c r="H39" s="1032"/>
      <c r="I39" s="1032"/>
      <c r="J39" s="1032"/>
      <c r="K39" s="1032"/>
      <c r="L39" s="909"/>
      <c r="M39" s="103">
        <v>51</v>
      </c>
      <c r="N39" s="1034">
        <f>IF(N32+N33+N37-N31-N35&lt;0,0,N32+N33+N37-N31-N35)</f>
        <v>0</v>
      </c>
      <c r="O39" s="1035"/>
      <c r="P39" s="1035"/>
      <c r="Q39" s="1036"/>
      <c r="R39" s="31"/>
      <c r="S39" s="38"/>
      <c r="T39" s="1013"/>
      <c r="U39" s="1028" t="s">
        <v>204</v>
      </c>
      <c r="V39" s="1014" t="s">
        <v>205</v>
      </c>
      <c r="W39" s="1015"/>
      <c r="X39" s="1015"/>
      <c r="Y39" s="1015"/>
      <c r="Z39" s="1015"/>
      <c r="AA39" s="1015"/>
      <c r="AB39" s="1015"/>
      <c r="AC39" s="1015"/>
      <c r="AD39" s="1016"/>
      <c r="AE39" s="101">
        <v>89</v>
      </c>
      <c r="AF39" s="1017">
        <f>ROUND(+'Anticipos y Otros'!D35,-3)</f>
        <v>0</v>
      </c>
      <c r="AG39" s="1018"/>
      <c r="AH39" s="1018"/>
      <c r="AI39" s="1019"/>
    </row>
    <row r="40" spans="2:35" ht="18.95" customHeight="1">
      <c r="B40" s="985"/>
      <c r="C40" s="1024" t="s">
        <v>206</v>
      </c>
      <c r="D40" s="944"/>
      <c r="E40" s="944"/>
      <c r="F40" s="944"/>
      <c r="G40" s="944"/>
      <c r="H40" s="944"/>
      <c r="I40" s="944"/>
      <c r="J40" s="944"/>
      <c r="K40" s="944"/>
      <c r="L40" s="920"/>
      <c r="M40" s="102">
        <v>52</v>
      </c>
      <c r="N40" s="946">
        <f>ROUND(IF(+'Rentas de capital y No Laborale'!E40&gt;0,+'Rentas de capital y No Laborale'!E40,0),-3)</f>
        <v>0</v>
      </c>
      <c r="O40" s="947"/>
      <c r="P40" s="947"/>
      <c r="Q40" s="948"/>
      <c r="R40" s="31"/>
      <c r="S40" s="38"/>
      <c r="T40" s="1013"/>
      <c r="U40" s="1029"/>
      <c r="V40" s="1024" t="s">
        <v>207</v>
      </c>
      <c r="W40" s="944"/>
      <c r="X40" s="944"/>
      <c r="Y40" s="944"/>
      <c r="Z40" s="944"/>
      <c r="AA40" s="944"/>
      <c r="AB40" s="944"/>
      <c r="AC40" s="944"/>
      <c r="AD40" s="920"/>
      <c r="AE40" s="102">
        <v>90</v>
      </c>
      <c r="AF40" s="1025">
        <f>ROUND('Anticipos y Otros'!D36,-3)</f>
        <v>0</v>
      </c>
      <c r="AG40" s="1026"/>
      <c r="AH40" s="1026"/>
      <c r="AI40" s="1027"/>
    </row>
    <row r="41" spans="2:35" ht="27.95" customHeight="1" thickBot="1">
      <c r="B41" s="986"/>
      <c r="C41" s="974" t="s">
        <v>429</v>
      </c>
      <c r="D41" s="975"/>
      <c r="E41" s="975"/>
      <c r="F41" s="975"/>
      <c r="G41" s="975"/>
      <c r="H41" s="975"/>
      <c r="I41" s="975"/>
      <c r="J41" s="975"/>
      <c r="K41" s="975"/>
      <c r="L41" s="1060"/>
      <c r="M41" s="110">
        <v>53</v>
      </c>
      <c r="N41" s="1056">
        <f>IF(N38-N40&gt;0,N38-N40,0)</f>
        <v>0</v>
      </c>
      <c r="O41" s="976"/>
      <c r="P41" s="976"/>
      <c r="Q41" s="977"/>
      <c r="R41" s="31"/>
      <c r="S41" s="38"/>
      <c r="T41" s="1013"/>
      <c r="U41" s="1029"/>
      <c r="V41" s="949" t="s">
        <v>208</v>
      </c>
      <c r="W41" s="950"/>
      <c r="X41" s="950"/>
      <c r="Y41" s="950"/>
      <c r="Z41" s="950"/>
      <c r="AA41" s="950"/>
      <c r="AB41" s="950"/>
      <c r="AC41" s="950"/>
      <c r="AD41" s="956"/>
      <c r="AE41" s="101">
        <v>91</v>
      </c>
      <c r="AF41" s="1000">
        <f>ROUND(+'Anticipos y Otros'!D37,-3)</f>
        <v>0</v>
      </c>
      <c r="AG41" s="1001"/>
      <c r="AH41" s="1001"/>
      <c r="AI41" s="1002"/>
    </row>
    <row r="42" spans="2:35" ht="18.95" customHeight="1" thickBot="1">
      <c r="B42" s="984" t="s">
        <v>211</v>
      </c>
      <c r="C42" s="915" t="s">
        <v>209</v>
      </c>
      <c r="D42" s="916"/>
      <c r="E42" s="916"/>
      <c r="F42" s="916"/>
      <c r="G42" s="916"/>
      <c r="H42" s="916"/>
      <c r="I42" s="916"/>
      <c r="J42" s="916"/>
      <c r="K42" s="916"/>
      <c r="L42" s="987"/>
      <c r="M42" s="102">
        <v>54</v>
      </c>
      <c r="N42" s="1057">
        <f>ROUND(IF('Resumen Tributario'!F13&gt;0,'Resumen Tributario'!F13,0),-3)</f>
        <v>0</v>
      </c>
      <c r="O42" s="1058"/>
      <c r="P42" s="1058"/>
      <c r="Q42" s="1059"/>
      <c r="R42" s="44">
        <v>50000000</v>
      </c>
      <c r="S42" s="38"/>
      <c r="T42" s="1013"/>
      <c r="U42" s="1030"/>
      <c r="V42" s="1003" t="s">
        <v>210</v>
      </c>
      <c r="W42" s="1004"/>
      <c r="X42" s="1004"/>
      <c r="Y42" s="1004"/>
      <c r="Z42" s="1004"/>
      <c r="AA42" s="1004"/>
      <c r="AB42" s="1004"/>
      <c r="AC42" s="1004"/>
      <c r="AD42" s="1005"/>
      <c r="AE42" s="109">
        <v>92</v>
      </c>
      <c r="AF42" s="1009">
        <f>SUM(AF39:AI41)</f>
        <v>0</v>
      </c>
      <c r="AG42" s="1010"/>
      <c r="AH42" s="1010"/>
      <c r="AI42" s="1011"/>
    </row>
    <row r="43" spans="2:35" ht="18" customHeight="1">
      <c r="B43" s="985"/>
      <c r="C43" s="1061" t="s">
        <v>212</v>
      </c>
      <c r="D43" s="1062"/>
      <c r="E43" s="1062"/>
      <c r="F43" s="1062"/>
      <c r="G43" s="1062"/>
      <c r="H43" s="1062"/>
      <c r="I43" s="1062"/>
      <c r="J43" s="1062"/>
      <c r="K43" s="1062"/>
      <c r="L43" s="1063"/>
      <c r="M43" s="542">
        <v>55</v>
      </c>
      <c r="N43" s="1070">
        <f>ROUND(+'Anticipos y Otros'!D47,-3)</f>
        <v>0</v>
      </c>
      <c r="O43" s="1071"/>
      <c r="P43" s="1071"/>
      <c r="Q43" s="1072"/>
      <c r="R43" s="31"/>
      <c r="S43" s="38"/>
      <c r="T43" s="1013"/>
      <c r="U43" s="1073" t="s">
        <v>213</v>
      </c>
      <c r="V43" s="1074"/>
      <c r="W43" s="1074"/>
      <c r="X43" s="1074"/>
      <c r="Y43" s="1074"/>
      <c r="Z43" s="1074"/>
      <c r="AA43" s="1074"/>
      <c r="AB43" s="1074"/>
      <c r="AC43" s="1074"/>
      <c r="AD43" s="1075"/>
      <c r="AE43" s="103">
        <v>93</v>
      </c>
      <c r="AF43" s="1076">
        <f>AF38-AF42</f>
        <v>0</v>
      </c>
      <c r="AG43" s="1077"/>
      <c r="AH43" s="1077"/>
      <c r="AI43" s="1078"/>
    </row>
    <row r="44" spans="2:35" ht="18" customHeight="1">
      <c r="B44" s="985"/>
      <c r="C44" s="1024" t="s">
        <v>161</v>
      </c>
      <c r="D44" s="944"/>
      <c r="E44" s="944"/>
      <c r="F44" s="944"/>
      <c r="G44" s="944"/>
      <c r="H44" s="944"/>
      <c r="I44" s="944"/>
      <c r="J44" s="944"/>
      <c r="K44" s="944"/>
      <c r="L44" s="920"/>
      <c r="M44" s="102">
        <v>56</v>
      </c>
      <c r="N44" s="946">
        <f>ROUND(IF(-'Resumen Tributario'!F14&gt;0,-'Resumen Tributario'!F14,0),-3)</f>
        <v>0</v>
      </c>
      <c r="O44" s="947"/>
      <c r="P44" s="947"/>
      <c r="Q44" s="948"/>
      <c r="R44" s="31"/>
      <c r="S44" s="38"/>
      <c r="T44" s="1013"/>
      <c r="U44" s="960" t="s">
        <v>214</v>
      </c>
      <c r="V44" s="961"/>
      <c r="W44" s="961"/>
      <c r="X44" s="961"/>
      <c r="Y44" s="961"/>
      <c r="Z44" s="961"/>
      <c r="AA44" s="961"/>
      <c r="AB44" s="961"/>
      <c r="AC44" s="961"/>
      <c r="AD44" s="1020"/>
      <c r="AE44" s="102">
        <v>94</v>
      </c>
      <c r="AF44" s="1025">
        <f>+'Imp. Ganancia Ocasional'!E42</f>
        <v>0</v>
      </c>
      <c r="AG44" s="1026"/>
      <c r="AH44" s="1026"/>
      <c r="AI44" s="1027"/>
    </row>
    <row r="45" spans="2:35" ht="26.25" customHeight="1">
      <c r="B45" s="985"/>
      <c r="C45" s="949" t="s">
        <v>194</v>
      </c>
      <c r="D45" s="950"/>
      <c r="E45" s="950"/>
      <c r="F45" s="950"/>
      <c r="G45" s="950"/>
      <c r="H45" s="950"/>
      <c r="I45" s="950"/>
      <c r="J45" s="950"/>
      <c r="K45" s="950"/>
      <c r="L45" s="956"/>
      <c r="M45" s="101">
        <v>57</v>
      </c>
      <c r="N45" s="1012">
        <f>IF(-('Resumen Tributario'!F15+'Resumen Tributario'!F16)&gt;0,-('Resumen Tributario'!F15+'Resumen Tributario'!F16),0)</f>
        <v>0</v>
      </c>
      <c r="O45" s="953"/>
      <c r="P45" s="953"/>
      <c r="Q45" s="954"/>
      <c r="R45" s="31"/>
      <c r="S45" s="644"/>
      <c r="T45" s="1013"/>
      <c r="U45" s="1061" t="s">
        <v>215</v>
      </c>
      <c r="V45" s="1062"/>
      <c r="W45" s="1062"/>
      <c r="X45" s="1062"/>
      <c r="Y45" s="1062"/>
      <c r="Z45" s="1062"/>
      <c r="AA45" s="1062"/>
      <c r="AB45" s="1062"/>
      <c r="AC45" s="1062"/>
      <c r="AD45" s="1063"/>
      <c r="AE45" s="542">
        <v>95</v>
      </c>
      <c r="AF45" s="1064">
        <f>ROUND(+'Anticipos y Otros'!D48,-3)</f>
        <v>0</v>
      </c>
      <c r="AG45" s="1065"/>
      <c r="AH45" s="1065"/>
      <c r="AI45" s="1066"/>
    </row>
    <row r="46" spans="2:35" ht="24.75" customHeight="1">
      <c r="B46" s="985"/>
      <c r="C46" s="960" t="s">
        <v>430</v>
      </c>
      <c r="D46" s="961"/>
      <c r="E46" s="961"/>
      <c r="F46" s="961"/>
      <c r="G46" s="961"/>
      <c r="H46" s="961"/>
      <c r="I46" s="961"/>
      <c r="J46" s="961"/>
      <c r="K46" s="961"/>
      <c r="L46" s="1020"/>
      <c r="M46" s="108">
        <v>58</v>
      </c>
      <c r="N46" s="1031">
        <f>IF(N42-N43-N44-N45&gt;0,N42-N43-N44-N45,0)</f>
        <v>0</v>
      </c>
      <c r="O46" s="973"/>
      <c r="P46" s="973"/>
      <c r="Q46" s="965"/>
      <c r="R46" s="31"/>
      <c r="S46" s="38"/>
      <c r="T46" s="1013"/>
      <c r="U46" s="960" t="s">
        <v>216</v>
      </c>
      <c r="V46" s="961"/>
      <c r="W46" s="961"/>
      <c r="X46" s="961"/>
      <c r="Y46" s="961"/>
      <c r="Z46" s="961"/>
      <c r="AA46" s="961"/>
      <c r="AB46" s="961"/>
      <c r="AC46" s="961"/>
      <c r="AD46" s="1020"/>
      <c r="AE46" s="108">
        <v>96</v>
      </c>
      <c r="AF46" s="1067">
        <f>IF(AF43+AF44-AF45&gt;0,AF43+AF44-AF45,0)</f>
        <v>0</v>
      </c>
      <c r="AG46" s="1068"/>
      <c r="AH46" s="1068"/>
      <c r="AI46" s="1069"/>
    </row>
    <row r="47" spans="2:35" ht="26.25" customHeight="1">
      <c r="B47" s="985"/>
      <c r="C47" s="1041" t="s">
        <v>217</v>
      </c>
      <c r="D47" s="1042"/>
      <c r="E47" s="1042"/>
      <c r="F47" s="1042"/>
      <c r="G47" s="1042"/>
      <c r="H47" s="1042"/>
      <c r="I47" s="1042"/>
      <c r="J47" s="1042"/>
      <c r="K47" s="1042"/>
      <c r="L47" s="1043"/>
      <c r="M47" s="541">
        <v>59</v>
      </c>
      <c r="N47" s="1044">
        <f>ROUND(+'Anticipos y Otros'!D42,-3)</f>
        <v>0</v>
      </c>
      <c r="O47" s="1045"/>
      <c r="P47" s="1045"/>
      <c r="Q47" s="1046"/>
      <c r="R47" s="46">
        <v>10000000</v>
      </c>
      <c r="S47" s="38"/>
      <c r="T47" s="1013"/>
      <c r="U47" s="949" t="s">
        <v>218</v>
      </c>
      <c r="V47" s="950"/>
      <c r="W47" s="950"/>
      <c r="X47" s="950"/>
      <c r="Y47" s="950"/>
      <c r="Z47" s="950"/>
      <c r="AA47" s="950"/>
      <c r="AB47" s="950"/>
      <c r="AC47" s="950"/>
      <c r="AD47" s="956"/>
      <c r="AE47" s="101">
        <v>97</v>
      </c>
      <c r="AF47" s="1084">
        <f>ROUND(+'Anticipos y Otros'!D28,-3)</f>
        <v>0</v>
      </c>
      <c r="AG47" s="1085"/>
      <c r="AH47" s="1085"/>
      <c r="AI47" s="1086"/>
    </row>
    <row r="48" spans="2:35" ht="27" customHeight="1">
      <c r="B48" s="985"/>
      <c r="C48" s="1024" t="s">
        <v>219</v>
      </c>
      <c r="D48" s="944"/>
      <c r="E48" s="944"/>
      <c r="F48" s="944"/>
      <c r="G48" s="944"/>
      <c r="H48" s="944"/>
      <c r="I48" s="944"/>
      <c r="J48" s="944"/>
      <c r="K48" s="944"/>
      <c r="L48" s="920"/>
      <c r="M48" s="102">
        <v>60</v>
      </c>
      <c r="N48" s="946">
        <f>IF(-('Resumen Tributario'!F18+'Resumen Tributario'!F19)&gt;0,-('Resumen Tributario'!F18+'Resumen Tributario'!F19),0)</f>
        <v>0</v>
      </c>
      <c r="O48" s="947"/>
      <c r="P48" s="947"/>
      <c r="Q48" s="948"/>
      <c r="R48" s="31"/>
      <c r="S48" s="38"/>
      <c r="T48" s="1013"/>
      <c r="U48" s="1024" t="s">
        <v>220</v>
      </c>
      <c r="V48" s="944"/>
      <c r="W48" s="944"/>
      <c r="X48" s="944"/>
      <c r="Y48" s="944"/>
      <c r="Z48" s="944"/>
      <c r="AA48" s="944"/>
      <c r="AB48" s="944"/>
      <c r="AC48" s="944"/>
      <c r="AD48" s="920"/>
      <c r="AE48" s="102">
        <v>98</v>
      </c>
      <c r="AF48" s="1081">
        <f>ROUND(+'Anticipos y Otros'!D30,-3)</f>
        <v>0</v>
      </c>
      <c r="AG48" s="1082"/>
      <c r="AH48" s="1082"/>
      <c r="AI48" s="1083"/>
    </row>
    <row r="49" spans="2:35" ht="26.25" customHeight="1">
      <c r="B49" s="985"/>
      <c r="C49" s="980" t="s">
        <v>221</v>
      </c>
      <c r="D49" s="1032"/>
      <c r="E49" s="1032"/>
      <c r="F49" s="1032"/>
      <c r="G49" s="1032"/>
      <c r="H49" s="1032"/>
      <c r="I49" s="1032"/>
      <c r="J49" s="1032"/>
      <c r="K49" s="1032"/>
      <c r="L49" s="909"/>
      <c r="M49" s="103">
        <v>61</v>
      </c>
      <c r="N49" s="1034">
        <f>ROUND(IF('Rentas de capital y No Laborale'!E75&gt;0,'Rentas de capital y No Laborale'!E75,0),-3)</f>
        <v>0</v>
      </c>
      <c r="O49" s="1035"/>
      <c r="P49" s="1035"/>
      <c r="Q49" s="1036"/>
      <c r="R49" s="44">
        <v>0</v>
      </c>
      <c r="S49" s="43">
        <v>50000000</v>
      </c>
      <c r="T49" s="1013"/>
      <c r="U49" s="949" t="s">
        <v>222</v>
      </c>
      <c r="V49" s="950"/>
      <c r="W49" s="950"/>
      <c r="X49" s="950"/>
      <c r="Y49" s="950"/>
      <c r="Z49" s="950"/>
      <c r="AA49" s="950"/>
      <c r="AB49" s="950"/>
      <c r="AC49" s="950"/>
      <c r="AD49" s="956"/>
      <c r="AE49" s="101">
        <v>99</v>
      </c>
      <c r="AF49" s="1084">
        <f>+'Resumen Tributario'!H24+'Imp. Ganancia Ocasional'!E34</f>
        <v>0</v>
      </c>
      <c r="AG49" s="1085"/>
      <c r="AH49" s="1085"/>
      <c r="AI49" s="1086"/>
    </row>
    <row r="50" spans="2:35" ht="29.1" customHeight="1">
      <c r="B50" s="985"/>
      <c r="C50" s="960" t="s">
        <v>223</v>
      </c>
      <c r="D50" s="961"/>
      <c r="E50" s="961"/>
      <c r="F50" s="961"/>
      <c r="G50" s="961"/>
      <c r="H50" s="961"/>
      <c r="I50" s="961"/>
      <c r="J50" s="961"/>
      <c r="K50" s="961"/>
      <c r="L50" s="1020"/>
      <c r="M50" s="108">
        <v>62</v>
      </c>
      <c r="N50" s="1031">
        <f>IF(N42+N47-N43-N44-N45-N49&lt;0,0,N42+N47-N43-N44-N45-N49)</f>
        <v>0</v>
      </c>
      <c r="O50" s="973"/>
      <c r="P50" s="973"/>
      <c r="Q50" s="965"/>
      <c r="R50" s="44">
        <v>0</v>
      </c>
      <c r="S50" s="43">
        <v>31859000</v>
      </c>
      <c r="T50" s="1013"/>
      <c r="U50" s="1024" t="s">
        <v>224</v>
      </c>
      <c r="V50" s="944"/>
      <c r="W50" s="944"/>
      <c r="X50" s="944"/>
      <c r="Y50" s="944"/>
      <c r="Z50" s="944"/>
      <c r="AA50" s="944"/>
      <c r="AB50" s="944"/>
      <c r="AC50" s="944"/>
      <c r="AD50" s="920"/>
      <c r="AE50" s="102">
        <v>100</v>
      </c>
      <c r="AF50" s="1081">
        <f>ROUND(+'Anticipos y Otros'!D26,-3)</f>
        <v>0</v>
      </c>
      <c r="AG50" s="1082"/>
      <c r="AH50" s="1082"/>
      <c r="AI50" s="1083"/>
    </row>
    <row r="51" spans="2:35" ht="26.1" customHeight="1">
      <c r="B51" s="985"/>
      <c r="C51" s="980" t="s">
        <v>225</v>
      </c>
      <c r="D51" s="1032"/>
      <c r="E51" s="1032"/>
      <c r="F51" s="1032"/>
      <c r="G51" s="1032"/>
      <c r="H51" s="1032"/>
      <c r="I51" s="1032"/>
      <c r="J51" s="1032"/>
      <c r="K51" s="1032"/>
      <c r="L51" s="909"/>
      <c r="M51" s="103">
        <v>63</v>
      </c>
      <c r="N51" s="1034">
        <f>IF(N43+N44+N45+N49-N42-N47&lt;0,0,N43+N44+N45+N49-N42-N11)</f>
        <v>0</v>
      </c>
      <c r="O51" s="1035"/>
      <c r="P51" s="1035"/>
      <c r="Q51" s="1036"/>
      <c r="R51" s="31"/>
      <c r="S51" s="38"/>
      <c r="T51" s="1013"/>
      <c r="U51" s="980" t="s">
        <v>226</v>
      </c>
      <c r="V51" s="1032"/>
      <c r="W51" s="1032"/>
      <c r="X51" s="1032"/>
      <c r="Y51" s="1032"/>
      <c r="Z51" s="1032"/>
      <c r="AA51" s="1032"/>
      <c r="AB51" s="1032"/>
      <c r="AC51" s="1032"/>
      <c r="AD51" s="909"/>
      <c r="AE51" s="103">
        <v>101</v>
      </c>
      <c r="AF51" s="910">
        <f>IF((AF46+AF50-AF47-AF48-AF49)&gt;0,AF46+AF50-AF47-AF48-AF49,0)</f>
        <v>0</v>
      </c>
      <c r="AG51" s="1079"/>
      <c r="AH51" s="1079"/>
      <c r="AI51" s="1080"/>
    </row>
    <row r="52" spans="2:35" ht="18.95" customHeight="1">
      <c r="B52" s="985"/>
      <c r="C52" s="1024" t="s">
        <v>227</v>
      </c>
      <c r="D52" s="944"/>
      <c r="E52" s="944"/>
      <c r="F52" s="944"/>
      <c r="G52" s="944"/>
      <c r="H52" s="944"/>
      <c r="I52" s="944"/>
      <c r="J52" s="944"/>
      <c r="K52" s="944"/>
      <c r="L52" s="920"/>
      <c r="M52" s="102">
        <v>64</v>
      </c>
      <c r="N52" s="946">
        <f>IF(+'Rentas de capital y No Laborale'!E78&gt;0,+'Rentas de capital y No Laborale'!E78,0)</f>
        <v>0</v>
      </c>
      <c r="O52" s="947"/>
      <c r="P52" s="947"/>
      <c r="Q52" s="948"/>
      <c r="R52" s="31"/>
      <c r="S52" s="38"/>
      <c r="T52" s="1013"/>
      <c r="U52" s="1024" t="s">
        <v>228</v>
      </c>
      <c r="V52" s="944"/>
      <c r="W52" s="944"/>
      <c r="X52" s="944"/>
      <c r="Y52" s="944"/>
      <c r="Z52" s="944"/>
      <c r="AA52" s="944"/>
      <c r="AB52" s="944"/>
      <c r="AC52" s="944"/>
      <c r="AD52" s="920"/>
      <c r="AE52" s="102">
        <v>102</v>
      </c>
      <c r="AF52" s="1081">
        <f>ROUND(+'Anticipos y Otros'!D32,-3)</f>
        <v>0</v>
      </c>
      <c r="AG52" s="1082"/>
      <c r="AH52" s="1082"/>
      <c r="AI52" s="1083"/>
    </row>
    <row r="53" spans="2:35" ht="18.95" customHeight="1">
      <c r="B53" s="985"/>
      <c r="C53" s="1041" t="s">
        <v>229</v>
      </c>
      <c r="D53" s="1042"/>
      <c r="E53" s="1042"/>
      <c r="F53" s="1042"/>
      <c r="G53" s="1042"/>
      <c r="H53" s="1042"/>
      <c r="I53" s="1042"/>
      <c r="J53" s="1042"/>
      <c r="K53" s="1042"/>
      <c r="L53" s="1043"/>
      <c r="M53" s="541">
        <v>65</v>
      </c>
      <c r="N53" s="1044">
        <f>IF(+'Rentas de capital y No Laborale'!E89&gt;0,+'Rentas de capital y No Laborale'!E89,0)</f>
        <v>0</v>
      </c>
      <c r="O53" s="1045"/>
      <c r="P53" s="1045"/>
      <c r="Q53" s="1046"/>
      <c r="R53" s="31"/>
      <c r="S53" s="38"/>
      <c r="T53" s="1013"/>
      <c r="U53" s="980" t="s">
        <v>230</v>
      </c>
      <c r="V53" s="1032"/>
      <c r="W53" s="1032"/>
      <c r="X53" s="1032"/>
      <c r="Y53" s="1032"/>
      <c r="Z53" s="1032"/>
      <c r="AA53" s="1032"/>
      <c r="AB53" s="1032"/>
      <c r="AC53" s="1032"/>
      <c r="AD53" s="909"/>
      <c r="AE53" s="103">
        <v>103</v>
      </c>
      <c r="AF53" s="910">
        <f>IF(AF46+AF50+AF52-AF47-AF48-AF49&lt;0,0,AF46+AF50+AF52-AF47-AF48-AF49)</f>
        <v>0</v>
      </c>
      <c r="AG53" s="1079"/>
      <c r="AH53" s="1079"/>
      <c r="AI53" s="1080"/>
    </row>
    <row r="54" spans="2:35" ht="27" customHeight="1" thickBot="1">
      <c r="B54" s="986"/>
      <c r="C54" s="1003" t="s">
        <v>431</v>
      </c>
      <c r="D54" s="1004"/>
      <c r="E54" s="1004"/>
      <c r="F54" s="1004"/>
      <c r="G54" s="1004"/>
      <c r="H54" s="1004"/>
      <c r="I54" s="1004"/>
      <c r="J54" s="1004"/>
      <c r="K54" s="1004"/>
      <c r="L54" s="1005"/>
      <c r="M54" s="109">
        <v>66</v>
      </c>
      <c r="N54" s="1006">
        <f>IF(N50-N52+N53&gt;0,N50-N52+N53,0)</f>
        <v>0</v>
      </c>
      <c r="O54" s="1007"/>
      <c r="P54" s="1007"/>
      <c r="Q54" s="1008"/>
      <c r="R54" s="645"/>
      <c r="S54" s="47"/>
      <c r="T54" s="979"/>
      <c r="U54" s="1003" t="s">
        <v>434</v>
      </c>
      <c r="V54" s="1004"/>
      <c r="W54" s="1004"/>
      <c r="X54" s="1004"/>
      <c r="Y54" s="1004"/>
      <c r="Z54" s="1004"/>
      <c r="AA54" s="1004"/>
      <c r="AB54" s="1004"/>
      <c r="AC54" s="1004"/>
      <c r="AD54" s="1005"/>
      <c r="AE54" s="109">
        <v>104</v>
      </c>
      <c r="AF54" s="1009">
        <f>IF(AF47+AF48+AF49-AF46-AF50-AF52&lt;0,0,AF47+AF48+AF49-AF46-AF50-AF52)</f>
        <v>0</v>
      </c>
      <c r="AG54" s="1010"/>
      <c r="AH54" s="1010"/>
      <c r="AI54" s="1011"/>
    </row>
    <row r="55" spans="2:35">
      <c r="B55" s="1106"/>
      <c r="C55" s="1107"/>
      <c r="D55" s="1107"/>
      <c r="E55" s="1107"/>
      <c r="F55" s="1107"/>
      <c r="G55" s="1107"/>
      <c r="H55" s="1107"/>
      <c r="I55" s="1107"/>
      <c r="J55" s="1107"/>
      <c r="K55" s="1107"/>
      <c r="L55" s="1107"/>
      <c r="M55" s="1107"/>
      <c r="N55" s="1107"/>
      <c r="O55" s="1107"/>
      <c r="P55" s="1107"/>
      <c r="Q55" s="1107"/>
      <c r="R55" s="1107"/>
      <c r="S55" s="1107"/>
      <c r="T55" s="1107"/>
      <c r="U55" s="1107"/>
      <c r="V55" s="1107"/>
      <c r="W55" s="1107"/>
      <c r="X55" s="1107"/>
      <c r="Y55" s="1107"/>
      <c r="Z55" s="1107"/>
      <c r="AA55" s="1107"/>
      <c r="AB55" s="1107"/>
      <c r="AC55" s="1107"/>
      <c r="AD55" s="1107"/>
      <c r="AE55" s="1107"/>
      <c r="AF55" s="1107"/>
      <c r="AG55" s="1107"/>
      <c r="AH55" s="1107"/>
      <c r="AI55" s="1108"/>
    </row>
    <row r="56" spans="2:35">
      <c r="B56" s="1109"/>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c r="Z56" s="1110"/>
      <c r="AA56" s="1110"/>
      <c r="AB56" s="1110"/>
      <c r="AC56" s="1110"/>
      <c r="AD56" s="1110"/>
      <c r="AE56" s="1110"/>
      <c r="AF56" s="1110"/>
      <c r="AG56" s="1110"/>
      <c r="AH56" s="1110"/>
      <c r="AI56" s="1111"/>
    </row>
    <row r="57" spans="2:35">
      <c r="B57" s="1109"/>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0"/>
      <c r="Y57" s="1110"/>
      <c r="Z57" s="1110"/>
      <c r="AA57" s="1110"/>
      <c r="AB57" s="1110"/>
      <c r="AC57" s="1110"/>
      <c r="AD57" s="1110"/>
      <c r="AE57" s="1110"/>
      <c r="AF57" s="1110"/>
      <c r="AG57" s="1110"/>
      <c r="AH57" s="1110"/>
      <c r="AI57" s="1111"/>
    </row>
    <row r="58" spans="2:35" ht="15.75" thickBot="1">
      <c r="B58" s="1112"/>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3"/>
      <c r="Y58" s="1113"/>
      <c r="Z58" s="1113"/>
      <c r="AA58" s="1113"/>
      <c r="AB58" s="1113"/>
      <c r="AC58" s="1113"/>
      <c r="AD58" s="1113"/>
      <c r="AE58" s="1113"/>
      <c r="AF58" s="1113"/>
      <c r="AG58" s="1113"/>
      <c r="AH58" s="1113"/>
      <c r="AI58" s="1114"/>
    </row>
    <row r="59" spans="2:35" ht="15.75" thickBot="1">
      <c r="B59" s="1115" t="s">
        <v>231</v>
      </c>
      <c r="C59" s="1116"/>
      <c r="D59" s="1116"/>
      <c r="E59" s="1116"/>
      <c r="F59" s="1117"/>
      <c r="G59" s="1118">
        <v>1123232323232</v>
      </c>
      <c r="H59" s="1119"/>
      <c r="I59" s="1119"/>
      <c r="J59" s="1119"/>
      <c r="K59" s="1120"/>
      <c r="L59" s="118" t="s">
        <v>232</v>
      </c>
      <c r="M59" s="1121">
        <v>5</v>
      </c>
      <c r="N59" s="1122"/>
      <c r="O59" s="1122"/>
      <c r="P59" s="1122"/>
      <c r="Q59" s="1123"/>
      <c r="R59" s="48"/>
      <c r="S59" s="47"/>
      <c r="T59" s="1115" t="s">
        <v>233</v>
      </c>
      <c r="U59" s="1116"/>
      <c r="V59" s="1116"/>
      <c r="W59" s="1116"/>
      <c r="X59" s="1117"/>
      <c r="Y59" s="1118">
        <f>+'Datos Contribuyente y Detalles'!D18</f>
        <v>0</v>
      </c>
      <c r="Z59" s="1119"/>
      <c r="AA59" s="1119"/>
      <c r="AB59" s="1119"/>
      <c r="AC59" s="1120"/>
      <c r="AD59" s="86" t="s">
        <v>234</v>
      </c>
      <c r="AE59" s="1118">
        <f>+'Datos Contribuyente y Detalles'!D19</f>
        <v>0</v>
      </c>
      <c r="AF59" s="1119"/>
      <c r="AG59" s="1119"/>
      <c r="AH59" s="1119"/>
      <c r="AI59" s="1120"/>
    </row>
    <row r="60" spans="2:35" ht="15.75" thickBot="1">
      <c r="B60" s="119" t="s">
        <v>235</v>
      </c>
      <c r="C60" s="37"/>
      <c r="D60" s="37"/>
      <c r="E60" s="37"/>
      <c r="F60" s="37"/>
      <c r="G60" s="49"/>
      <c r="H60" s="34"/>
      <c r="I60" s="29"/>
      <c r="J60" s="29"/>
      <c r="K60" s="29"/>
      <c r="L60" s="29"/>
      <c r="M60" s="29"/>
      <c r="N60" s="50"/>
      <c r="O60" s="1087" t="s">
        <v>236</v>
      </c>
      <c r="P60" s="1088"/>
      <c r="Q60" s="1088"/>
      <c r="R60" s="1088"/>
      <c r="S60" s="1088"/>
      <c r="T60" s="1088"/>
      <c r="U60" s="1088"/>
      <c r="V60" s="1088"/>
      <c r="W60" s="1089"/>
      <c r="X60" s="1096"/>
      <c r="Y60" s="1097"/>
      <c r="Z60" s="1097"/>
      <c r="AA60" s="1097"/>
      <c r="AB60" s="1097"/>
      <c r="AC60" s="1097"/>
      <c r="AD60" s="1097"/>
      <c r="AE60" s="1097"/>
      <c r="AF60" s="1097"/>
      <c r="AG60" s="1097"/>
      <c r="AH60" s="1097"/>
      <c r="AI60" s="1098"/>
    </row>
    <row r="61" spans="2:35" ht="18" customHeight="1" thickBot="1">
      <c r="B61" s="119" t="s">
        <v>237</v>
      </c>
      <c r="C61" s="29"/>
      <c r="D61" s="29"/>
      <c r="E61" s="29"/>
      <c r="F61" s="29"/>
      <c r="G61" s="29"/>
      <c r="H61" s="29"/>
      <c r="I61" s="29"/>
      <c r="J61" s="29"/>
      <c r="K61" s="29"/>
      <c r="L61" s="29"/>
      <c r="M61" s="29"/>
      <c r="N61" s="50"/>
      <c r="O61" s="1090"/>
      <c r="P61" s="1091"/>
      <c r="Q61" s="1091"/>
      <c r="R61" s="1091"/>
      <c r="S61" s="1091"/>
      <c r="T61" s="1091"/>
      <c r="U61" s="1091"/>
      <c r="V61" s="1091"/>
      <c r="W61" s="1092"/>
      <c r="X61" s="1099" t="s">
        <v>238</v>
      </c>
      <c r="Y61" s="1100"/>
      <c r="Z61" s="1100"/>
      <c r="AA61" s="1100"/>
      <c r="AB61" s="1100"/>
      <c r="AC61" s="1100"/>
      <c r="AD61" s="1101">
        <f>AF53</f>
        <v>0</v>
      </c>
      <c r="AE61" s="1101"/>
      <c r="AF61" s="1101"/>
      <c r="AG61" s="1101"/>
      <c r="AH61" s="1101"/>
      <c r="AI61" s="1102"/>
    </row>
    <row r="62" spans="2:35" ht="15.75" thickBot="1">
      <c r="B62" s="51"/>
      <c r="C62" s="37"/>
      <c r="D62" s="37"/>
      <c r="E62" s="37"/>
      <c r="F62" s="37"/>
      <c r="G62" s="37"/>
      <c r="H62" s="37"/>
      <c r="I62" s="37"/>
      <c r="J62" s="37"/>
      <c r="K62" s="37"/>
      <c r="L62" s="37"/>
      <c r="M62" s="37"/>
      <c r="N62" s="49"/>
      <c r="O62" s="1090"/>
      <c r="P62" s="1091"/>
      <c r="Q62" s="1091"/>
      <c r="R62" s="1091"/>
      <c r="S62" s="1091"/>
      <c r="T62" s="1091"/>
      <c r="U62" s="1091"/>
      <c r="V62" s="1091"/>
      <c r="W62" s="1092"/>
      <c r="X62" s="1103"/>
      <c r="Y62" s="1104"/>
      <c r="Z62" s="1104"/>
      <c r="AA62" s="1104"/>
      <c r="AB62" s="1104"/>
      <c r="AC62" s="1104"/>
      <c r="AD62" s="1104"/>
      <c r="AE62" s="1104"/>
      <c r="AF62" s="1104"/>
      <c r="AG62" s="1104"/>
      <c r="AH62" s="1104"/>
      <c r="AI62" s="1105"/>
    </row>
    <row r="63" spans="2:35" ht="15.75" thickBot="1">
      <c r="B63" s="52"/>
      <c r="C63" s="642"/>
      <c r="D63" s="642"/>
      <c r="E63" s="642"/>
      <c r="F63" s="642"/>
      <c r="G63" s="642"/>
      <c r="H63" s="642"/>
      <c r="I63" s="642"/>
      <c r="J63" s="642"/>
      <c r="K63" s="642"/>
      <c r="L63" s="642"/>
      <c r="M63" s="642"/>
      <c r="N63" s="643"/>
      <c r="O63" s="1090"/>
      <c r="P63" s="1091"/>
      <c r="Q63" s="1091"/>
      <c r="R63" s="1091"/>
      <c r="S63" s="1091"/>
      <c r="T63" s="1091"/>
      <c r="U63" s="1091"/>
      <c r="V63" s="1091"/>
      <c r="W63" s="1092"/>
      <c r="X63" s="1087" t="s">
        <v>239</v>
      </c>
      <c r="Y63" s="1088"/>
      <c r="Z63" s="1088"/>
      <c r="AA63" s="1088"/>
      <c r="AB63" s="1088"/>
      <c r="AC63" s="1088"/>
      <c r="AD63" s="1088"/>
      <c r="AE63" s="1088"/>
      <c r="AF63" s="1088"/>
      <c r="AG63" s="1088"/>
      <c r="AH63" s="1088"/>
      <c r="AI63" s="1089"/>
    </row>
    <row r="64" spans="2:35" ht="15.75" thickBot="1">
      <c r="B64" s="119" t="s">
        <v>240</v>
      </c>
      <c r="C64" s="53"/>
      <c r="D64" s="53"/>
      <c r="E64" s="53"/>
      <c r="F64" s="53"/>
      <c r="G64" s="54"/>
      <c r="H64" s="55"/>
      <c r="I64" s="53"/>
      <c r="J64" s="53"/>
      <c r="K64" s="53"/>
      <c r="L64" s="53"/>
      <c r="M64" s="53"/>
      <c r="N64" s="54"/>
      <c r="O64" s="1090"/>
      <c r="P64" s="1091"/>
      <c r="Q64" s="1091"/>
      <c r="R64" s="1091"/>
      <c r="S64" s="1091"/>
      <c r="T64" s="1091"/>
      <c r="U64" s="1091"/>
      <c r="V64" s="1091"/>
      <c r="W64" s="1092"/>
      <c r="X64" s="1090"/>
      <c r="Y64" s="1091"/>
      <c r="Z64" s="1091"/>
      <c r="AA64" s="1091"/>
      <c r="AB64" s="1091"/>
      <c r="AC64" s="1091"/>
      <c r="AD64" s="1091"/>
      <c r="AE64" s="1091"/>
      <c r="AF64" s="1091"/>
      <c r="AG64" s="1091"/>
      <c r="AH64" s="1091"/>
      <c r="AI64" s="1092"/>
    </row>
    <row r="65" spans="2:35" ht="15.75" thickBot="1">
      <c r="B65" s="56"/>
      <c r="C65" s="53"/>
      <c r="D65" s="53"/>
      <c r="E65" s="53"/>
      <c r="F65" s="53"/>
      <c r="G65" s="53"/>
      <c r="H65" s="53"/>
      <c r="I65" s="53"/>
      <c r="J65" s="57"/>
      <c r="K65" s="53"/>
      <c r="L65" s="53"/>
      <c r="M65" s="53"/>
      <c r="N65" s="54"/>
      <c r="O65" s="1090"/>
      <c r="P65" s="1091"/>
      <c r="Q65" s="1091"/>
      <c r="R65" s="1091"/>
      <c r="S65" s="1091"/>
      <c r="T65" s="1091"/>
      <c r="U65" s="1091"/>
      <c r="V65" s="1091"/>
      <c r="W65" s="1092"/>
      <c r="X65" s="1090"/>
      <c r="Y65" s="1091"/>
      <c r="Z65" s="1091"/>
      <c r="AA65" s="1091"/>
      <c r="AB65" s="1091"/>
      <c r="AC65" s="1091"/>
      <c r="AD65" s="1091"/>
      <c r="AE65" s="1091"/>
      <c r="AF65" s="1091"/>
      <c r="AG65" s="1091"/>
      <c r="AH65" s="1091"/>
      <c r="AI65" s="1092"/>
    </row>
    <row r="66" spans="2:35" ht="15.75" thickBot="1">
      <c r="B66" s="58" t="s">
        <v>241</v>
      </c>
      <c r="C66" s="53"/>
      <c r="D66" s="53"/>
      <c r="E66" s="53"/>
      <c r="F66" s="59" t="s">
        <v>242</v>
      </c>
      <c r="G66" s="53"/>
      <c r="H66" s="53"/>
      <c r="I66" s="54"/>
      <c r="J66" s="55"/>
      <c r="K66" s="53"/>
      <c r="L66" s="53"/>
      <c r="M66" s="53"/>
      <c r="N66" s="54"/>
      <c r="O66" s="1090"/>
      <c r="P66" s="1091"/>
      <c r="Q66" s="1091"/>
      <c r="R66" s="1091"/>
      <c r="S66" s="1091"/>
      <c r="T66" s="1091"/>
      <c r="U66" s="1091"/>
      <c r="V66" s="1091"/>
      <c r="W66" s="1092"/>
      <c r="X66" s="1090"/>
      <c r="Y66" s="1091"/>
      <c r="Z66" s="1091"/>
      <c r="AA66" s="1091"/>
      <c r="AB66" s="1091"/>
      <c r="AC66" s="1091"/>
      <c r="AD66" s="1091"/>
      <c r="AE66" s="1091"/>
      <c r="AF66" s="1091"/>
      <c r="AG66" s="1091"/>
      <c r="AH66" s="1091"/>
      <c r="AI66" s="1092"/>
    </row>
    <row r="67" spans="2:35">
      <c r="B67" s="56"/>
      <c r="C67" s="53"/>
      <c r="D67" s="53"/>
      <c r="E67" s="53"/>
      <c r="F67" s="53"/>
      <c r="G67" s="53"/>
      <c r="H67" s="53"/>
      <c r="I67" s="53"/>
      <c r="J67" s="53"/>
      <c r="K67" s="53"/>
      <c r="L67" s="53"/>
      <c r="M67" s="53"/>
      <c r="N67" s="54"/>
      <c r="O67" s="1090"/>
      <c r="P67" s="1091"/>
      <c r="Q67" s="1091"/>
      <c r="R67" s="1091"/>
      <c r="S67" s="1091"/>
      <c r="T67" s="1091"/>
      <c r="U67" s="1091"/>
      <c r="V67" s="1091"/>
      <c r="W67" s="1092"/>
      <c r="X67" s="1090"/>
      <c r="Y67" s="1091"/>
      <c r="Z67" s="1091"/>
      <c r="AA67" s="1091"/>
      <c r="AB67" s="1091"/>
      <c r="AC67" s="1091"/>
      <c r="AD67" s="1091"/>
      <c r="AE67" s="1091"/>
      <c r="AF67" s="1091"/>
      <c r="AG67" s="1091"/>
      <c r="AH67" s="1091"/>
      <c r="AI67" s="1092"/>
    </row>
    <row r="68" spans="2:35">
      <c r="B68" s="56"/>
      <c r="C68" s="53"/>
      <c r="D68" s="53"/>
      <c r="E68" s="53"/>
      <c r="F68" s="53"/>
      <c r="G68" s="53"/>
      <c r="H68" s="53"/>
      <c r="I68" s="53"/>
      <c r="J68" s="53"/>
      <c r="K68" s="53"/>
      <c r="L68" s="53"/>
      <c r="M68" s="53"/>
      <c r="N68" s="54"/>
      <c r="O68" s="1090"/>
      <c r="P68" s="1091"/>
      <c r="Q68" s="1091"/>
      <c r="R68" s="1091"/>
      <c r="S68" s="1091"/>
      <c r="T68" s="1091"/>
      <c r="U68" s="1091"/>
      <c r="V68" s="1091"/>
      <c r="W68" s="1092"/>
      <c r="X68" s="1090"/>
      <c r="Y68" s="1091"/>
      <c r="Z68" s="1091"/>
      <c r="AA68" s="1091"/>
      <c r="AB68" s="1091"/>
      <c r="AC68" s="1091"/>
      <c r="AD68" s="1091"/>
      <c r="AE68" s="1091"/>
      <c r="AF68" s="1091"/>
      <c r="AG68" s="1091"/>
      <c r="AH68" s="1091"/>
      <c r="AI68" s="1092"/>
    </row>
    <row r="69" spans="2:35">
      <c r="B69" s="56"/>
      <c r="C69" s="53"/>
      <c r="D69" s="53"/>
      <c r="E69" s="53"/>
      <c r="F69" s="53"/>
      <c r="G69" s="53"/>
      <c r="H69" s="53"/>
      <c r="I69" s="53"/>
      <c r="J69" s="53"/>
      <c r="K69" s="53"/>
      <c r="L69" s="53"/>
      <c r="M69" s="53"/>
      <c r="N69" s="54"/>
      <c r="O69" s="1090"/>
      <c r="P69" s="1091"/>
      <c r="Q69" s="1091"/>
      <c r="R69" s="1091"/>
      <c r="S69" s="1091"/>
      <c r="T69" s="1091"/>
      <c r="U69" s="1091"/>
      <c r="V69" s="1091"/>
      <c r="W69" s="1092"/>
      <c r="X69" s="1090"/>
      <c r="Y69" s="1091"/>
      <c r="Z69" s="1091"/>
      <c r="AA69" s="1091"/>
      <c r="AB69" s="1091"/>
      <c r="AC69" s="1091"/>
      <c r="AD69" s="1091"/>
      <c r="AE69" s="1091"/>
      <c r="AF69" s="1091"/>
      <c r="AG69" s="1091"/>
      <c r="AH69" s="1091"/>
      <c r="AI69" s="1092"/>
    </row>
    <row r="70" spans="2:35" ht="17.25" thickBot="1">
      <c r="B70" s="120" t="s">
        <v>243</v>
      </c>
      <c r="C70" s="60"/>
      <c r="D70" s="60"/>
      <c r="E70" s="60"/>
      <c r="F70" s="61" t="s">
        <v>244</v>
      </c>
      <c r="G70" s="60"/>
      <c r="H70" s="60"/>
      <c r="I70" s="60"/>
      <c r="J70" s="60"/>
      <c r="K70" s="60"/>
      <c r="L70" s="60"/>
      <c r="M70" s="60"/>
      <c r="N70" s="62"/>
      <c r="O70" s="1093"/>
      <c r="P70" s="1094"/>
      <c r="Q70" s="1094"/>
      <c r="R70" s="1094"/>
      <c r="S70" s="1094"/>
      <c r="T70" s="1094"/>
      <c r="U70" s="1094"/>
      <c r="V70" s="1094"/>
      <c r="W70" s="1095"/>
      <c r="X70" s="1093"/>
      <c r="Y70" s="1094"/>
      <c r="Z70" s="1094"/>
      <c r="AA70" s="1094"/>
      <c r="AB70" s="1094"/>
      <c r="AC70" s="1094"/>
      <c r="AD70" s="1094"/>
      <c r="AE70" s="1094"/>
      <c r="AF70" s="1094"/>
      <c r="AG70" s="1094"/>
      <c r="AH70" s="1094"/>
      <c r="AI70" s="1095"/>
    </row>
    <row r="71" spans="2:35"/>
    <row r="72" spans="2:35"/>
  </sheetData>
  <sheetProtection algorithmName="SHA-512" hashValue="v5ZA9Al4Oeb3XeBtC+Az4doc4WgvvJAwbuqb3XHUHw9lobqkJkVS/pjtNyDqSc3o25+99GqipXBevTjSG+Z9jg==" saltValue="J7atIJQoEQH6nHGaIyPZkg==" spinCount="100000" sheet="1" objects="1" scenarios="1"/>
  <mergeCells count="204">
    <mergeCell ref="B42:B54"/>
    <mergeCell ref="O60:W70"/>
    <mergeCell ref="X60:AI60"/>
    <mergeCell ref="X61:AC61"/>
    <mergeCell ref="AD61:AI61"/>
    <mergeCell ref="X62:AI62"/>
    <mergeCell ref="X63:AI70"/>
    <mergeCell ref="B55:AI58"/>
    <mergeCell ref="B59:F59"/>
    <mergeCell ref="G59:K59"/>
    <mergeCell ref="M59:Q59"/>
    <mergeCell ref="T59:X59"/>
    <mergeCell ref="Y59:AC59"/>
    <mergeCell ref="AE59:AI59"/>
    <mergeCell ref="C53:L53"/>
    <mergeCell ref="N53:Q53"/>
    <mergeCell ref="U53:AD53"/>
    <mergeCell ref="AF53:AI53"/>
    <mergeCell ref="C54:L54"/>
    <mergeCell ref="N54:Q54"/>
    <mergeCell ref="U54:AD54"/>
    <mergeCell ref="AF54:AI54"/>
    <mergeCell ref="C51:L51"/>
    <mergeCell ref="N51:Q51"/>
    <mergeCell ref="U51:AD51"/>
    <mergeCell ref="AF51:AI51"/>
    <mergeCell ref="C52:L52"/>
    <mergeCell ref="N52:Q52"/>
    <mergeCell ref="U52:AD52"/>
    <mergeCell ref="AF52:AI52"/>
    <mergeCell ref="AF50:AI50"/>
    <mergeCell ref="C47:L47"/>
    <mergeCell ref="N47:Q47"/>
    <mergeCell ref="U47:AD47"/>
    <mergeCell ref="AF47:AI47"/>
    <mergeCell ref="C48:L48"/>
    <mergeCell ref="N48:Q48"/>
    <mergeCell ref="U48:AD48"/>
    <mergeCell ref="AF48:AI48"/>
    <mergeCell ref="C49:L49"/>
    <mergeCell ref="N49:Q49"/>
    <mergeCell ref="U49:AD49"/>
    <mergeCell ref="AF49:AI49"/>
    <mergeCell ref="C50:L50"/>
    <mergeCell ref="N50:Q50"/>
    <mergeCell ref="U50:AD50"/>
    <mergeCell ref="N45:Q45"/>
    <mergeCell ref="U45:AD45"/>
    <mergeCell ref="AF45:AI45"/>
    <mergeCell ref="C46:L46"/>
    <mergeCell ref="N46:Q46"/>
    <mergeCell ref="U46:AD46"/>
    <mergeCell ref="AF46:AI46"/>
    <mergeCell ref="C43:L43"/>
    <mergeCell ref="N43:Q43"/>
    <mergeCell ref="U43:AD43"/>
    <mergeCell ref="AF43:AI43"/>
    <mergeCell ref="C44:L44"/>
    <mergeCell ref="N44:Q44"/>
    <mergeCell ref="U44:AD44"/>
    <mergeCell ref="AF44:AI44"/>
    <mergeCell ref="C45:L45"/>
    <mergeCell ref="N41:Q41"/>
    <mergeCell ref="V41:AD41"/>
    <mergeCell ref="AF41:AI41"/>
    <mergeCell ref="C42:L42"/>
    <mergeCell ref="N42:Q42"/>
    <mergeCell ref="V42:AD42"/>
    <mergeCell ref="AF42:AI42"/>
    <mergeCell ref="C39:L39"/>
    <mergeCell ref="N39:Q39"/>
    <mergeCell ref="U39:U42"/>
    <mergeCell ref="V39:AD39"/>
    <mergeCell ref="AF39:AI39"/>
    <mergeCell ref="C40:L40"/>
    <mergeCell ref="N40:Q40"/>
    <mergeCell ref="V40:AD40"/>
    <mergeCell ref="AF40:AI40"/>
    <mergeCell ref="C41:L41"/>
    <mergeCell ref="AF37:AI37"/>
    <mergeCell ref="C38:L38"/>
    <mergeCell ref="N38:Q38"/>
    <mergeCell ref="U38:AD38"/>
    <mergeCell ref="AF38:AI38"/>
    <mergeCell ref="AF34:AI34"/>
    <mergeCell ref="C35:L35"/>
    <mergeCell ref="N35:Q35"/>
    <mergeCell ref="V35:AD35"/>
    <mergeCell ref="AF35:AI35"/>
    <mergeCell ref="C36:L36"/>
    <mergeCell ref="N36:Q36"/>
    <mergeCell ref="U36:AD36"/>
    <mergeCell ref="AF36:AI36"/>
    <mergeCell ref="U28:AD28"/>
    <mergeCell ref="AF28:AI28"/>
    <mergeCell ref="C29:L29"/>
    <mergeCell ref="B31:B41"/>
    <mergeCell ref="C31:L31"/>
    <mergeCell ref="N31:Q31"/>
    <mergeCell ref="T31:T54"/>
    <mergeCell ref="U31:U35"/>
    <mergeCell ref="V31:AD31"/>
    <mergeCell ref="C34:L34"/>
    <mergeCell ref="N34:Q34"/>
    <mergeCell ref="V34:AD34"/>
    <mergeCell ref="C37:L37"/>
    <mergeCell ref="AF31:AI31"/>
    <mergeCell ref="C32:L32"/>
    <mergeCell ref="N32:Q32"/>
    <mergeCell ref="V32:AD32"/>
    <mergeCell ref="AF32:AI32"/>
    <mergeCell ref="C33:L33"/>
    <mergeCell ref="N33:Q33"/>
    <mergeCell ref="V33:AD33"/>
    <mergeCell ref="AF33:AI33"/>
    <mergeCell ref="N37:Q37"/>
    <mergeCell ref="U37:AD37"/>
    <mergeCell ref="C25:L25"/>
    <mergeCell ref="N25:Q25"/>
    <mergeCell ref="T25:T26"/>
    <mergeCell ref="U25:AD25"/>
    <mergeCell ref="AF25:AI25"/>
    <mergeCell ref="B26:B30"/>
    <mergeCell ref="C26:L26"/>
    <mergeCell ref="N26:Q26"/>
    <mergeCell ref="U26:AD26"/>
    <mergeCell ref="AF26:AI26"/>
    <mergeCell ref="N29:Q29"/>
    <mergeCell ref="U29:AD29"/>
    <mergeCell ref="AF29:AI29"/>
    <mergeCell ref="C30:L30"/>
    <mergeCell ref="N30:Q30"/>
    <mergeCell ref="U30:AD30"/>
    <mergeCell ref="AF30:AI30"/>
    <mergeCell ref="C27:L27"/>
    <mergeCell ref="N27:Q27"/>
    <mergeCell ref="T27:T30"/>
    <mergeCell ref="U27:AD27"/>
    <mergeCell ref="AF27:AI27"/>
    <mergeCell ref="C28:L28"/>
    <mergeCell ref="N28:Q28"/>
    <mergeCell ref="C24:L24"/>
    <mergeCell ref="N24:Q24"/>
    <mergeCell ref="U24:AD24"/>
    <mergeCell ref="AF24:AI24"/>
    <mergeCell ref="N21:Q21"/>
    <mergeCell ref="U21:AD21"/>
    <mergeCell ref="AF21:AI21"/>
    <mergeCell ref="C22:L22"/>
    <mergeCell ref="N22:Q22"/>
    <mergeCell ref="U22:AD22"/>
    <mergeCell ref="AF22:AI22"/>
    <mergeCell ref="C19:L19"/>
    <mergeCell ref="N19:Q19"/>
    <mergeCell ref="U19:AD19"/>
    <mergeCell ref="AF19:AI19"/>
    <mergeCell ref="B20:B25"/>
    <mergeCell ref="C20:L20"/>
    <mergeCell ref="N20:Q20"/>
    <mergeCell ref="U20:AD20"/>
    <mergeCell ref="AF20:AI20"/>
    <mergeCell ref="C21:L21"/>
    <mergeCell ref="B17:B19"/>
    <mergeCell ref="C17:L17"/>
    <mergeCell ref="N17:Q17"/>
    <mergeCell ref="T17:T24"/>
    <mergeCell ref="U17:AD17"/>
    <mergeCell ref="AF17:AI17"/>
    <mergeCell ref="C18:L18"/>
    <mergeCell ref="N18:Q18"/>
    <mergeCell ref="U18:AD18"/>
    <mergeCell ref="AF18:AI18"/>
    <mergeCell ref="C23:L23"/>
    <mergeCell ref="N23:Q23"/>
    <mergeCell ref="U23:AD23"/>
    <mergeCell ref="AF23:AI23"/>
    <mergeCell ref="B16:C16"/>
    <mergeCell ref="D16:F16"/>
    <mergeCell ref="G16:I16"/>
    <mergeCell ref="J16:K16"/>
    <mergeCell ref="M16:Q16"/>
    <mergeCell ref="T16:V16"/>
    <mergeCell ref="W16:AA16"/>
    <mergeCell ref="AB16:AC16"/>
    <mergeCell ref="AD16:AH16"/>
    <mergeCell ref="B9:H12"/>
    <mergeCell ref="I9:Y12"/>
    <mergeCell ref="Z9:AE12"/>
    <mergeCell ref="AF9:AI12"/>
    <mergeCell ref="B13:D13"/>
    <mergeCell ref="E13:G13"/>
    <mergeCell ref="H13:Q13"/>
    <mergeCell ref="T13:AI13"/>
    <mergeCell ref="AC15:AH15"/>
    <mergeCell ref="B14:B15"/>
    <mergeCell ref="C14:I14"/>
    <mergeCell ref="K14:P14"/>
    <mergeCell ref="Q14:V14"/>
    <mergeCell ref="W14:AB14"/>
    <mergeCell ref="AC14:AH14"/>
    <mergeCell ref="C15:I15"/>
    <mergeCell ref="K15:P15"/>
    <mergeCell ref="Q15:V15"/>
    <mergeCell ref="W15:AB15"/>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workbookViewId="0">
      <selection activeCell="D20" sqref="D20"/>
    </sheetView>
  </sheetViews>
  <sheetFormatPr baseColWidth="10" defaultColWidth="0" defaultRowHeight="15" zeroHeight="1"/>
  <cols>
    <col min="1" max="1" width="3.140625" style="144" customWidth="1"/>
    <col min="2" max="2" width="10.42578125" style="167" bestFit="1" customWidth="1"/>
    <col min="3" max="4" width="15.28515625" style="144" bestFit="1" customWidth="1"/>
    <col min="5" max="5" width="14.28515625" style="144" bestFit="1" customWidth="1"/>
    <col min="6" max="6" width="14.42578125" style="144" bestFit="1" customWidth="1"/>
    <col min="7" max="9" width="8.85546875" style="144" customWidth="1"/>
    <col min="10" max="10" width="8.85546875" style="144" hidden="1" customWidth="1"/>
    <col min="11" max="16384" width="8.85546875" style="144" hidden="1"/>
  </cols>
  <sheetData>
    <row r="1" spans="2:6"/>
    <row r="2" spans="2:6"/>
    <row r="3" spans="2:6"/>
    <row r="4" spans="2:6"/>
    <row r="5" spans="2:6"/>
    <row r="6" spans="2:6"/>
    <row r="7" spans="2:6"/>
    <row r="8" spans="2:6"/>
    <row r="9" spans="2:6" ht="15.75" thickBot="1"/>
    <row r="10" spans="2:6" ht="15.75" thickBot="1">
      <c r="B10" s="168" t="s">
        <v>80</v>
      </c>
      <c r="C10" s="169" t="s">
        <v>79</v>
      </c>
      <c r="D10" s="169" t="s">
        <v>78</v>
      </c>
      <c r="E10" s="170" t="s">
        <v>77</v>
      </c>
      <c r="F10" s="170" t="s">
        <v>457</v>
      </c>
    </row>
    <row r="11" spans="2:6">
      <c r="B11" s="171">
        <v>31859</v>
      </c>
      <c r="C11" s="172">
        <v>2017</v>
      </c>
      <c r="D11" s="173">
        <v>40700</v>
      </c>
      <c r="E11" s="174">
        <f>+ROUND(D11*B11,-3)</f>
        <v>1296661000</v>
      </c>
      <c r="F11" s="174">
        <v>737717</v>
      </c>
    </row>
    <row r="12" spans="2:6" ht="15.75" thickBot="1">
      <c r="B12" s="175">
        <v>29753</v>
      </c>
      <c r="C12" s="176">
        <v>2016</v>
      </c>
      <c r="D12" s="177">
        <f>+D11</f>
        <v>40700</v>
      </c>
      <c r="E12" s="178">
        <f>+ROUND(D12*B12,-3)</f>
        <v>1210947000</v>
      </c>
      <c r="F12" s="178"/>
    </row>
    <row r="13" spans="2:6" ht="15.75" thickBot="1">
      <c r="C13" s="179">
        <v>33156</v>
      </c>
    </row>
    <row r="14" spans="2:6" ht="15.75" thickBot="1"/>
    <row r="15" spans="2:6" ht="15.75" thickBot="1">
      <c r="B15" s="180" t="s">
        <v>76</v>
      </c>
      <c r="C15" s="181">
        <f>+C11</f>
        <v>2017</v>
      </c>
      <c r="D15" s="181">
        <f>+C12</f>
        <v>2016</v>
      </c>
    </row>
    <row r="16" spans="2:6">
      <c r="B16" s="182">
        <v>2.9999999999999997E-4</v>
      </c>
      <c r="C16" s="173">
        <f>+ROUND(B16*UVT,-1)</f>
        <v>10</v>
      </c>
      <c r="D16" s="174">
        <f>+ROUND(B16*UVTold,-1)</f>
        <v>10</v>
      </c>
    </row>
    <row r="17" spans="2:4">
      <c r="B17" s="183">
        <v>1.4999999999999999E-2</v>
      </c>
      <c r="C17" s="184">
        <f>+ROUND(B17*UVT,-1)</f>
        <v>480</v>
      </c>
      <c r="D17" s="185">
        <f>+ROUND(B17*UVTold,-1)</f>
        <v>450</v>
      </c>
    </row>
    <row r="18" spans="2:4">
      <c r="B18" s="183">
        <v>3.5000000000000003E-2</v>
      </c>
      <c r="C18" s="184">
        <f>+ROUND(B18*UVT,-1)</f>
        <v>1120</v>
      </c>
      <c r="D18" s="185">
        <f>+ROUND(B18*UVTold,-1)</f>
        <v>1040</v>
      </c>
    </row>
    <row r="19" spans="2:4">
      <c r="B19" s="183">
        <v>5.5E-2</v>
      </c>
      <c r="C19" s="184">
        <f>+ROUND(B19*UVT,-1)</f>
        <v>1750</v>
      </c>
      <c r="D19" s="185">
        <f>+ROUND(B19*UVTold,-1)</f>
        <v>1640</v>
      </c>
    </row>
    <row r="20" spans="2:4">
      <c r="B20" s="183">
        <v>0.03</v>
      </c>
      <c r="C20" s="184">
        <f>+ROUND(B20*UVT,-1)</f>
        <v>960</v>
      </c>
      <c r="D20" s="185">
        <f>+ROUND(B20*UVTold,-1)</f>
        <v>890</v>
      </c>
    </row>
    <row r="21" spans="2:4">
      <c r="B21" s="183">
        <v>0.6</v>
      </c>
      <c r="C21" s="184">
        <f t="shared" ref="C21:C52" si="0">+ROUND(B21*UVT,-3)</f>
        <v>19000</v>
      </c>
      <c r="D21" s="185">
        <f t="shared" ref="D21:D52" si="1">+ROUND(B21*UVTold,-3)</f>
        <v>18000</v>
      </c>
    </row>
    <row r="22" spans="2:4">
      <c r="B22" s="186">
        <v>1</v>
      </c>
      <c r="C22" s="184">
        <f t="shared" si="0"/>
        <v>32000</v>
      </c>
      <c r="D22" s="185">
        <f t="shared" si="1"/>
        <v>30000</v>
      </c>
    </row>
    <row r="23" spans="2:4">
      <c r="B23" s="187">
        <v>1.5</v>
      </c>
      <c r="C23" s="184">
        <f t="shared" si="0"/>
        <v>48000</v>
      </c>
      <c r="D23" s="185">
        <f t="shared" si="1"/>
        <v>45000</v>
      </c>
    </row>
    <row r="24" spans="2:4">
      <c r="B24" s="186">
        <v>2</v>
      </c>
      <c r="C24" s="184">
        <f t="shared" si="0"/>
        <v>64000</v>
      </c>
      <c r="D24" s="185">
        <f t="shared" si="1"/>
        <v>60000</v>
      </c>
    </row>
    <row r="25" spans="2:4">
      <c r="B25" s="186">
        <v>3</v>
      </c>
      <c r="C25" s="184">
        <f t="shared" si="0"/>
        <v>96000</v>
      </c>
      <c r="D25" s="185">
        <f t="shared" si="1"/>
        <v>89000</v>
      </c>
    </row>
    <row r="26" spans="2:4">
      <c r="B26" s="186">
        <v>4</v>
      </c>
      <c r="C26" s="184">
        <f t="shared" si="0"/>
        <v>127000</v>
      </c>
      <c r="D26" s="185">
        <f t="shared" si="1"/>
        <v>119000</v>
      </c>
    </row>
    <row r="27" spans="2:4">
      <c r="B27" s="186">
        <v>5</v>
      </c>
      <c r="C27" s="184">
        <f t="shared" si="0"/>
        <v>159000</v>
      </c>
      <c r="D27" s="185">
        <f t="shared" si="1"/>
        <v>149000</v>
      </c>
    </row>
    <row r="28" spans="2:4">
      <c r="B28" s="186">
        <v>6</v>
      </c>
      <c r="C28" s="184">
        <f t="shared" si="0"/>
        <v>191000</v>
      </c>
      <c r="D28" s="185">
        <f t="shared" si="1"/>
        <v>179000</v>
      </c>
    </row>
    <row r="29" spans="2:4">
      <c r="B29" s="186">
        <v>7</v>
      </c>
      <c r="C29" s="184">
        <f t="shared" si="0"/>
        <v>223000</v>
      </c>
      <c r="D29" s="185">
        <f t="shared" si="1"/>
        <v>208000</v>
      </c>
    </row>
    <row r="30" spans="2:4">
      <c r="B30" s="186">
        <v>8</v>
      </c>
      <c r="C30" s="184">
        <f t="shared" si="0"/>
        <v>255000</v>
      </c>
      <c r="D30" s="185">
        <f t="shared" si="1"/>
        <v>238000</v>
      </c>
    </row>
    <row r="31" spans="2:4">
      <c r="B31" s="186">
        <v>9</v>
      </c>
      <c r="C31" s="184">
        <f t="shared" si="0"/>
        <v>287000</v>
      </c>
      <c r="D31" s="185">
        <f t="shared" si="1"/>
        <v>268000</v>
      </c>
    </row>
    <row r="32" spans="2:4">
      <c r="B32" s="186">
        <v>10</v>
      </c>
      <c r="C32" s="184">
        <f t="shared" si="0"/>
        <v>319000</v>
      </c>
      <c r="D32" s="185">
        <f t="shared" si="1"/>
        <v>298000</v>
      </c>
    </row>
    <row r="33" spans="2:4">
      <c r="B33" s="186">
        <v>15</v>
      </c>
      <c r="C33" s="184">
        <f t="shared" si="0"/>
        <v>478000</v>
      </c>
      <c r="D33" s="185">
        <f t="shared" si="1"/>
        <v>446000</v>
      </c>
    </row>
    <row r="34" spans="2:4">
      <c r="B34" s="186">
        <v>16</v>
      </c>
      <c r="C34" s="184">
        <f t="shared" si="0"/>
        <v>510000</v>
      </c>
      <c r="D34" s="185">
        <f t="shared" si="1"/>
        <v>476000</v>
      </c>
    </row>
    <row r="35" spans="2:4">
      <c r="B35" s="186">
        <v>20</v>
      </c>
      <c r="C35" s="184">
        <f t="shared" si="0"/>
        <v>637000</v>
      </c>
      <c r="D35" s="185">
        <f t="shared" si="1"/>
        <v>595000</v>
      </c>
    </row>
    <row r="36" spans="2:4">
      <c r="B36" s="186">
        <v>27</v>
      </c>
      <c r="C36" s="184">
        <f t="shared" si="0"/>
        <v>860000</v>
      </c>
      <c r="D36" s="185">
        <f t="shared" si="1"/>
        <v>803000</v>
      </c>
    </row>
    <row r="37" spans="2:4">
      <c r="B37" s="186">
        <v>30</v>
      </c>
      <c r="C37" s="184">
        <f t="shared" si="0"/>
        <v>956000</v>
      </c>
      <c r="D37" s="185">
        <f t="shared" si="1"/>
        <v>893000</v>
      </c>
    </row>
    <row r="38" spans="2:4">
      <c r="B38" s="186">
        <v>32</v>
      </c>
      <c r="C38" s="184">
        <f t="shared" si="0"/>
        <v>1019000</v>
      </c>
      <c r="D38" s="185">
        <f t="shared" si="1"/>
        <v>952000</v>
      </c>
    </row>
    <row r="39" spans="2:4">
      <c r="B39" s="186">
        <v>40</v>
      </c>
      <c r="C39" s="184">
        <f t="shared" si="0"/>
        <v>1274000</v>
      </c>
      <c r="D39" s="185">
        <f t="shared" si="1"/>
        <v>1190000</v>
      </c>
    </row>
    <row r="40" spans="2:4">
      <c r="B40" s="186">
        <v>41</v>
      </c>
      <c r="C40" s="184">
        <f t="shared" si="0"/>
        <v>1306000</v>
      </c>
      <c r="D40" s="185">
        <f t="shared" si="1"/>
        <v>1220000</v>
      </c>
    </row>
    <row r="41" spans="2:4">
      <c r="B41" s="186">
        <v>45</v>
      </c>
      <c r="C41" s="184">
        <f t="shared" si="0"/>
        <v>1434000</v>
      </c>
      <c r="D41" s="185">
        <f t="shared" si="1"/>
        <v>1339000</v>
      </c>
    </row>
    <row r="42" spans="2:4">
      <c r="B42" s="186">
        <v>48</v>
      </c>
      <c r="C42" s="184">
        <f t="shared" si="0"/>
        <v>1529000</v>
      </c>
      <c r="D42" s="185">
        <f t="shared" si="1"/>
        <v>1428000</v>
      </c>
    </row>
    <row r="43" spans="2:4">
      <c r="B43" s="186">
        <v>51</v>
      </c>
      <c r="C43" s="184">
        <f t="shared" si="0"/>
        <v>1625000</v>
      </c>
      <c r="D43" s="185">
        <f t="shared" si="1"/>
        <v>1517000</v>
      </c>
    </row>
    <row r="44" spans="2:4">
      <c r="B44" s="186">
        <v>60</v>
      </c>
      <c r="C44" s="184">
        <f t="shared" si="0"/>
        <v>1912000</v>
      </c>
      <c r="D44" s="185">
        <f t="shared" si="1"/>
        <v>1785000</v>
      </c>
    </row>
    <row r="45" spans="2:4">
      <c r="B45" s="186">
        <v>65</v>
      </c>
      <c r="C45" s="184">
        <f t="shared" si="0"/>
        <v>2071000</v>
      </c>
      <c r="D45" s="185">
        <f t="shared" si="1"/>
        <v>1934000</v>
      </c>
    </row>
    <row r="46" spans="2:4">
      <c r="B46" s="186">
        <v>82</v>
      </c>
      <c r="C46" s="184">
        <f t="shared" si="0"/>
        <v>2612000</v>
      </c>
      <c r="D46" s="185">
        <f t="shared" si="1"/>
        <v>2440000</v>
      </c>
    </row>
    <row r="47" spans="2:4">
      <c r="B47" s="186">
        <v>96</v>
      </c>
      <c r="C47" s="184">
        <f t="shared" si="0"/>
        <v>3058000</v>
      </c>
      <c r="D47" s="185">
        <f t="shared" si="1"/>
        <v>2856000</v>
      </c>
    </row>
    <row r="48" spans="2:4">
      <c r="B48" s="186">
        <v>100</v>
      </c>
      <c r="C48" s="184">
        <f t="shared" si="0"/>
        <v>3186000</v>
      </c>
      <c r="D48" s="185">
        <f t="shared" si="1"/>
        <v>2975000</v>
      </c>
    </row>
    <row r="49" spans="2:4">
      <c r="B49" s="186">
        <v>159</v>
      </c>
      <c r="C49" s="184">
        <f t="shared" si="0"/>
        <v>5066000</v>
      </c>
      <c r="D49" s="185">
        <f t="shared" si="1"/>
        <v>4731000</v>
      </c>
    </row>
    <row r="50" spans="2:4">
      <c r="B50" s="186">
        <v>160</v>
      </c>
      <c r="C50" s="184">
        <f t="shared" si="0"/>
        <v>5097000</v>
      </c>
      <c r="D50" s="185">
        <f t="shared" si="1"/>
        <v>4760000</v>
      </c>
    </row>
    <row r="51" spans="2:4">
      <c r="B51" s="186">
        <v>200</v>
      </c>
      <c r="C51" s="184">
        <f t="shared" si="0"/>
        <v>6372000</v>
      </c>
      <c r="D51" s="185">
        <f t="shared" si="1"/>
        <v>5951000</v>
      </c>
    </row>
    <row r="52" spans="2:4">
      <c r="B52" s="186">
        <v>240</v>
      </c>
      <c r="C52" s="184">
        <f t="shared" si="0"/>
        <v>7646000</v>
      </c>
      <c r="D52" s="185">
        <f t="shared" si="1"/>
        <v>7141000</v>
      </c>
    </row>
    <row r="53" spans="2:4">
      <c r="B53" s="186">
        <v>260</v>
      </c>
      <c r="C53" s="184">
        <f t="shared" ref="C53:C84" si="2">+ROUND(B53*UVT,-3)</f>
        <v>8283000</v>
      </c>
      <c r="D53" s="185">
        <f t="shared" ref="D53:D84" si="3">+ROUND(B53*UVTold,-3)</f>
        <v>7736000</v>
      </c>
    </row>
    <row r="54" spans="2:4">
      <c r="B54" s="186">
        <v>290</v>
      </c>
      <c r="C54" s="184">
        <f t="shared" si="2"/>
        <v>9239000</v>
      </c>
      <c r="D54" s="185">
        <f t="shared" si="3"/>
        <v>8628000</v>
      </c>
    </row>
    <row r="55" spans="2:4">
      <c r="B55" s="186">
        <v>310</v>
      </c>
      <c r="C55" s="184">
        <f t="shared" si="2"/>
        <v>9876000</v>
      </c>
      <c r="D55" s="185">
        <f t="shared" si="3"/>
        <v>9223000</v>
      </c>
    </row>
    <row r="56" spans="2:4">
      <c r="B56" s="186">
        <v>313</v>
      </c>
      <c r="C56" s="184">
        <f t="shared" si="2"/>
        <v>9972000</v>
      </c>
      <c r="D56" s="185">
        <f t="shared" si="3"/>
        <v>9313000</v>
      </c>
    </row>
    <row r="57" spans="2:4">
      <c r="B57" s="186">
        <v>350</v>
      </c>
      <c r="C57" s="184">
        <f t="shared" si="2"/>
        <v>11151000</v>
      </c>
      <c r="D57" s="185">
        <f t="shared" si="3"/>
        <v>10414000</v>
      </c>
    </row>
    <row r="58" spans="2:4">
      <c r="B58" s="186">
        <v>360</v>
      </c>
      <c r="C58" s="184">
        <f t="shared" si="2"/>
        <v>11469000</v>
      </c>
      <c r="D58" s="185">
        <f t="shared" si="3"/>
        <v>10711000</v>
      </c>
    </row>
    <row r="59" spans="2:4">
      <c r="B59" s="186">
        <v>410</v>
      </c>
      <c r="C59" s="184">
        <f t="shared" si="2"/>
        <v>13062000</v>
      </c>
      <c r="D59" s="185">
        <f t="shared" si="3"/>
        <v>12199000</v>
      </c>
    </row>
    <row r="60" spans="2:4">
      <c r="B60" s="186">
        <v>417</v>
      </c>
      <c r="C60" s="184">
        <f t="shared" si="2"/>
        <v>13285000</v>
      </c>
      <c r="D60" s="185">
        <f t="shared" si="3"/>
        <v>12407000</v>
      </c>
    </row>
    <row r="61" spans="2:4">
      <c r="B61" s="186">
        <v>500</v>
      </c>
      <c r="C61" s="184">
        <f t="shared" si="2"/>
        <v>15930000</v>
      </c>
      <c r="D61" s="185">
        <f t="shared" si="3"/>
        <v>14877000</v>
      </c>
    </row>
    <row r="62" spans="2:4">
      <c r="B62" s="186">
        <v>590</v>
      </c>
      <c r="C62" s="184">
        <f t="shared" si="2"/>
        <v>18797000</v>
      </c>
      <c r="D62" s="185">
        <f t="shared" si="3"/>
        <v>17554000</v>
      </c>
    </row>
    <row r="63" spans="2:4">
      <c r="B63" s="186">
        <v>610</v>
      </c>
      <c r="C63" s="184">
        <f t="shared" si="2"/>
        <v>19434000</v>
      </c>
      <c r="D63" s="185">
        <f t="shared" si="3"/>
        <v>18149000</v>
      </c>
    </row>
    <row r="64" spans="2:4">
      <c r="B64" s="186">
        <v>700</v>
      </c>
      <c r="C64" s="184">
        <f t="shared" si="2"/>
        <v>22301000</v>
      </c>
      <c r="D64" s="185">
        <f t="shared" si="3"/>
        <v>20827000</v>
      </c>
    </row>
    <row r="65" spans="2:4">
      <c r="B65" s="186">
        <v>950</v>
      </c>
      <c r="C65" s="184">
        <f t="shared" si="2"/>
        <v>30266000</v>
      </c>
      <c r="D65" s="185">
        <f t="shared" si="3"/>
        <v>28265000</v>
      </c>
    </row>
    <row r="66" spans="2:4">
      <c r="B66" s="186">
        <v>1000</v>
      </c>
      <c r="C66" s="184">
        <f t="shared" si="2"/>
        <v>31859000</v>
      </c>
      <c r="D66" s="185">
        <f t="shared" si="3"/>
        <v>29753000</v>
      </c>
    </row>
    <row r="67" spans="2:4">
      <c r="B67" s="186">
        <v>1200</v>
      </c>
      <c r="C67" s="184">
        <f t="shared" si="2"/>
        <v>38231000</v>
      </c>
      <c r="D67" s="185">
        <f t="shared" si="3"/>
        <v>35704000</v>
      </c>
    </row>
    <row r="68" spans="2:4">
      <c r="B68" s="186">
        <v>1250</v>
      </c>
      <c r="C68" s="184">
        <f t="shared" si="2"/>
        <v>39824000</v>
      </c>
      <c r="D68" s="185">
        <f t="shared" si="3"/>
        <v>37191000</v>
      </c>
    </row>
    <row r="69" spans="2:4">
      <c r="B69" s="186">
        <v>1300</v>
      </c>
      <c r="C69" s="184">
        <f t="shared" si="2"/>
        <v>41417000</v>
      </c>
      <c r="D69" s="185">
        <f t="shared" si="3"/>
        <v>38679000</v>
      </c>
    </row>
    <row r="70" spans="2:4">
      <c r="B70" s="186">
        <v>1400</v>
      </c>
      <c r="C70" s="184">
        <f t="shared" si="2"/>
        <v>44603000</v>
      </c>
      <c r="D70" s="185">
        <f t="shared" si="3"/>
        <v>41654000</v>
      </c>
    </row>
    <row r="71" spans="2:4">
      <c r="B71" s="186">
        <v>1667</v>
      </c>
      <c r="C71" s="184">
        <f t="shared" si="2"/>
        <v>53109000</v>
      </c>
      <c r="D71" s="185">
        <f t="shared" si="3"/>
        <v>49598000</v>
      </c>
    </row>
    <row r="72" spans="2:4">
      <c r="B72" s="186">
        <v>1800</v>
      </c>
      <c r="C72" s="184">
        <f t="shared" si="2"/>
        <v>57346000</v>
      </c>
      <c r="D72" s="185">
        <f t="shared" si="3"/>
        <v>53555000</v>
      </c>
    </row>
    <row r="73" spans="2:4">
      <c r="B73" s="186">
        <v>2000</v>
      </c>
      <c r="C73" s="184">
        <f t="shared" si="2"/>
        <v>63718000</v>
      </c>
      <c r="D73" s="185">
        <f t="shared" si="3"/>
        <v>59506000</v>
      </c>
    </row>
    <row r="74" spans="2:4">
      <c r="B74" s="186">
        <v>2280</v>
      </c>
      <c r="C74" s="184">
        <f t="shared" si="2"/>
        <v>72639000</v>
      </c>
      <c r="D74" s="185">
        <f t="shared" si="3"/>
        <v>67837000</v>
      </c>
    </row>
    <row r="75" spans="2:4">
      <c r="B75" s="186">
        <v>2290</v>
      </c>
      <c r="C75" s="184">
        <f t="shared" si="2"/>
        <v>72957000</v>
      </c>
      <c r="D75" s="185">
        <f t="shared" si="3"/>
        <v>68134000</v>
      </c>
    </row>
    <row r="76" spans="2:4">
      <c r="B76" s="186">
        <v>2400</v>
      </c>
      <c r="C76" s="184">
        <f t="shared" si="2"/>
        <v>76462000</v>
      </c>
      <c r="D76" s="185">
        <f t="shared" si="3"/>
        <v>71407000</v>
      </c>
    </row>
    <row r="77" spans="2:4">
      <c r="B77" s="186">
        <v>2500</v>
      </c>
      <c r="C77" s="184">
        <f t="shared" si="2"/>
        <v>79648000</v>
      </c>
      <c r="D77" s="185">
        <f t="shared" si="3"/>
        <v>74383000</v>
      </c>
    </row>
    <row r="78" spans="2:4">
      <c r="B78" s="186">
        <v>2800</v>
      </c>
      <c r="C78" s="184">
        <f t="shared" si="2"/>
        <v>89205000</v>
      </c>
      <c r="D78" s="185">
        <f t="shared" si="3"/>
        <v>83308000</v>
      </c>
    </row>
    <row r="79" spans="2:4">
      <c r="B79" s="186">
        <v>3000</v>
      </c>
      <c r="C79" s="184">
        <f t="shared" si="2"/>
        <v>95577000</v>
      </c>
      <c r="D79" s="185">
        <f t="shared" si="3"/>
        <v>89259000</v>
      </c>
    </row>
    <row r="80" spans="2:4">
      <c r="B80" s="186">
        <v>3300</v>
      </c>
      <c r="C80" s="184">
        <f t="shared" si="2"/>
        <v>105135000</v>
      </c>
      <c r="D80" s="185">
        <f t="shared" si="3"/>
        <v>98185000</v>
      </c>
    </row>
    <row r="81" spans="2:4">
      <c r="B81" s="186">
        <v>3490</v>
      </c>
      <c r="C81" s="184">
        <f t="shared" si="2"/>
        <v>111188000</v>
      </c>
      <c r="D81" s="185">
        <f t="shared" si="3"/>
        <v>103838000</v>
      </c>
    </row>
    <row r="82" spans="2:4">
      <c r="B82" s="186">
        <v>3500</v>
      </c>
      <c r="C82" s="184">
        <f t="shared" si="2"/>
        <v>111507000</v>
      </c>
      <c r="D82" s="185">
        <f t="shared" si="3"/>
        <v>104136000</v>
      </c>
    </row>
    <row r="83" spans="2:4">
      <c r="B83" s="186">
        <v>3580</v>
      </c>
      <c r="C83" s="184">
        <f t="shared" si="2"/>
        <v>114055000</v>
      </c>
      <c r="D83" s="185">
        <f t="shared" si="3"/>
        <v>106516000</v>
      </c>
    </row>
    <row r="84" spans="2:4">
      <c r="B84" s="186">
        <v>3800</v>
      </c>
      <c r="C84" s="184">
        <f t="shared" si="2"/>
        <v>121064000</v>
      </c>
      <c r="D84" s="185">
        <f t="shared" si="3"/>
        <v>113061000</v>
      </c>
    </row>
    <row r="85" spans="2:4">
      <c r="B85" s="186">
        <v>4000</v>
      </c>
      <c r="C85" s="184">
        <f t="shared" ref="C85:C116" si="4">+ROUND(B85*UVT,-3)</f>
        <v>127436000</v>
      </c>
      <c r="D85" s="185">
        <f t="shared" ref="D85:D116" si="5">+ROUND(B85*UVTold,-3)</f>
        <v>119012000</v>
      </c>
    </row>
    <row r="86" spans="2:4">
      <c r="B86" s="186">
        <v>4100</v>
      </c>
      <c r="C86" s="184">
        <f t="shared" si="4"/>
        <v>130622000</v>
      </c>
      <c r="D86" s="185">
        <f t="shared" si="5"/>
        <v>121987000</v>
      </c>
    </row>
    <row r="87" spans="2:4">
      <c r="B87" s="186">
        <v>4500</v>
      </c>
      <c r="C87" s="184">
        <f t="shared" si="4"/>
        <v>143366000</v>
      </c>
      <c r="D87" s="185">
        <f t="shared" si="5"/>
        <v>133889000</v>
      </c>
    </row>
    <row r="88" spans="2:4">
      <c r="B88" s="186">
        <v>5000</v>
      </c>
      <c r="C88" s="184">
        <f t="shared" si="4"/>
        <v>159295000</v>
      </c>
      <c r="D88" s="185">
        <f t="shared" si="5"/>
        <v>148765000</v>
      </c>
    </row>
    <row r="89" spans="2:4">
      <c r="B89" s="186">
        <v>5040</v>
      </c>
      <c r="C89" s="184">
        <f t="shared" si="4"/>
        <v>160569000</v>
      </c>
      <c r="D89" s="185">
        <f t="shared" si="5"/>
        <v>149955000</v>
      </c>
    </row>
    <row r="90" spans="2:4">
      <c r="B90" s="186">
        <v>6000</v>
      </c>
      <c r="C90" s="184">
        <f t="shared" si="4"/>
        <v>191154000</v>
      </c>
      <c r="D90" s="185">
        <f t="shared" si="5"/>
        <v>178518000</v>
      </c>
    </row>
    <row r="91" spans="2:4">
      <c r="B91" s="186">
        <v>6100</v>
      </c>
      <c r="C91" s="184">
        <f t="shared" si="4"/>
        <v>194340000</v>
      </c>
      <c r="D91" s="185">
        <f t="shared" si="5"/>
        <v>181493000</v>
      </c>
    </row>
    <row r="92" spans="2:4">
      <c r="B92" s="186">
        <v>7500</v>
      </c>
      <c r="C92" s="184">
        <f t="shared" si="4"/>
        <v>238943000</v>
      </c>
      <c r="D92" s="185">
        <f t="shared" si="5"/>
        <v>223148000</v>
      </c>
    </row>
    <row r="93" spans="2:4">
      <c r="B93" s="186">
        <v>7700</v>
      </c>
      <c r="C93" s="184">
        <f t="shared" si="4"/>
        <v>245314000</v>
      </c>
      <c r="D93" s="185">
        <f t="shared" si="5"/>
        <v>229098000</v>
      </c>
    </row>
    <row r="94" spans="2:4">
      <c r="B94" s="186">
        <v>8000</v>
      </c>
      <c r="C94" s="184">
        <f t="shared" si="4"/>
        <v>254872000</v>
      </c>
      <c r="D94" s="185">
        <f t="shared" si="5"/>
        <v>238024000</v>
      </c>
    </row>
    <row r="95" spans="2:4">
      <c r="B95" s="186"/>
      <c r="C95" s="184">
        <f t="shared" si="4"/>
        <v>0</v>
      </c>
      <c r="D95" s="185">
        <f t="shared" si="5"/>
        <v>0</v>
      </c>
    </row>
    <row r="96" spans="2:4">
      <c r="B96" s="186">
        <v>10000</v>
      </c>
      <c r="C96" s="184">
        <f t="shared" si="4"/>
        <v>318590000</v>
      </c>
      <c r="D96" s="185">
        <f t="shared" si="5"/>
        <v>297530000</v>
      </c>
    </row>
    <row r="97" spans="2:4">
      <c r="B97" s="186">
        <v>12200</v>
      </c>
      <c r="C97" s="184">
        <f t="shared" si="4"/>
        <v>388680000</v>
      </c>
      <c r="D97" s="185">
        <f t="shared" si="5"/>
        <v>362987000</v>
      </c>
    </row>
    <row r="98" spans="2:4">
      <c r="B98" s="186">
        <v>15000</v>
      </c>
      <c r="C98" s="184">
        <f t="shared" si="4"/>
        <v>477885000</v>
      </c>
      <c r="D98" s="185">
        <f t="shared" si="5"/>
        <v>446295000</v>
      </c>
    </row>
    <row r="99" spans="2:4">
      <c r="B99" s="186">
        <v>0</v>
      </c>
      <c r="C99" s="184">
        <f t="shared" si="4"/>
        <v>0</v>
      </c>
      <c r="D99" s="185">
        <f t="shared" si="5"/>
        <v>0</v>
      </c>
    </row>
    <row r="100" spans="2:4">
      <c r="B100" s="186">
        <v>19000</v>
      </c>
      <c r="C100" s="184">
        <f t="shared" si="4"/>
        <v>605321000</v>
      </c>
      <c r="D100" s="185">
        <f t="shared" si="5"/>
        <v>565307000</v>
      </c>
    </row>
    <row r="101" spans="2:4">
      <c r="B101" s="186">
        <v>20000</v>
      </c>
      <c r="C101" s="184">
        <f t="shared" si="4"/>
        <v>637180000</v>
      </c>
      <c r="D101" s="185">
        <f t="shared" si="5"/>
        <v>595060000</v>
      </c>
    </row>
    <row r="102" spans="2:4">
      <c r="B102" s="186">
        <v>25000</v>
      </c>
      <c r="C102" s="184">
        <f t="shared" si="4"/>
        <v>796475000</v>
      </c>
      <c r="D102" s="185">
        <f t="shared" si="5"/>
        <v>743825000</v>
      </c>
    </row>
    <row r="103" spans="2:4">
      <c r="B103" s="186">
        <v>30000</v>
      </c>
      <c r="C103" s="184">
        <f t="shared" si="4"/>
        <v>955770000</v>
      </c>
      <c r="D103" s="185">
        <f t="shared" si="5"/>
        <v>892590000</v>
      </c>
    </row>
    <row r="104" spans="2:4">
      <c r="B104" s="186">
        <v>31000</v>
      </c>
      <c r="C104" s="184">
        <f t="shared" si="4"/>
        <v>987629000</v>
      </c>
      <c r="D104" s="185">
        <f t="shared" si="5"/>
        <v>922343000</v>
      </c>
    </row>
    <row r="105" spans="2:4">
      <c r="B105" s="186">
        <v>33000</v>
      </c>
      <c r="C105" s="184">
        <f t="shared" si="4"/>
        <v>1051347000</v>
      </c>
      <c r="D105" s="185">
        <f t="shared" si="5"/>
        <v>981849000</v>
      </c>
    </row>
    <row r="106" spans="2:4">
      <c r="B106" s="186">
        <v>40000</v>
      </c>
      <c r="C106" s="184">
        <f t="shared" si="4"/>
        <v>1274360000</v>
      </c>
      <c r="D106" s="185">
        <f t="shared" si="5"/>
        <v>1190120000</v>
      </c>
    </row>
    <row r="107" spans="2:4">
      <c r="B107" s="186">
        <v>41000</v>
      </c>
      <c r="C107" s="184">
        <f t="shared" si="4"/>
        <v>1306219000</v>
      </c>
      <c r="D107" s="185">
        <f t="shared" si="5"/>
        <v>1219873000</v>
      </c>
    </row>
    <row r="108" spans="2:4">
      <c r="B108" s="186">
        <v>60000</v>
      </c>
      <c r="C108" s="184">
        <f t="shared" si="4"/>
        <v>1911540000</v>
      </c>
      <c r="D108" s="185">
        <f t="shared" si="5"/>
        <v>1785180000</v>
      </c>
    </row>
    <row r="109" spans="2:4">
      <c r="B109" s="186">
        <v>61000</v>
      </c>
      <c r="C109" s="184">
        <f t="shared" si="4"/>
        <v>1943399000</v>
      </c>
      <c r="D109" s="185">
        <f t="shared" si="5"/>
        <v>1814933000</v>
      </c>
    </row>
    <row r="110" spans="2:4">
      <c r="B110" s="186">
        <v>80000</v>
      </c>
      <c r="C110" s="184">
        <f t="shared" si="4"/>
        <v>2548720000</v>
      </c>
      <c r="D110" s="185">
        <f t="shared" si="5"/>
        <v>2380240000</v>
      </c>
    </row>
    <row r="111" spans="2:4">
      <c r="B111" s="186">
        <v>81000</v>
      </c>
      <c r="C111" s="184">
        <f t="shared" si="4"/>
        <v>2580579000</v>
      </c>
      <c r="D111" s="185">
        <f t="shared" si="5"/>
        <v>2409993000</v>
      </c>
    </row>
    <row r="112" spans="2:4">
      <c r="B112" s="186">
        <v>82000</v>
      </c>
      <c r="C112" s="184">
        <f t="shared" si="4"/>
        <v>2612438000</v>
      </c>
      <c r="D112" s="185">
        <f t="shared" si="5"/>
        <v>2439746000</v>
      </c>
    </row>
    <row r="113" spans="2:4">
      <c r="B113" s="186">
        <v>92000</v>
      </c>
      <c r="C113" s="184">
        <f t="shared" si="4"/>
        <v>2931028000</v>
      </c>
      <c r="D113" s="185">
        <f t="shared" si="5"/>
        <v>2737276000</v>
      </c>
    </row>
    <row r="114" spans="2:4">
      <c r="B114" s="186">
        <v>100000</v>
      </c>
      <c r="C114" s="184">
        <f t="shared" si="4"/>
        <v>3185900000</v>
      </c>
      <c r="D114" s="185">
        <f t="shared" si="5"/>
        <v>2975300000</v>
      </c>
    </row>
    <row r="115" spans="2:4">
      <c r="B115" s="186">
        <v>0</v>
      </c>
      <c r="C115" s="184">
        <f t="shared" si="4"/>
        <v>0</v>
      </c>
      <c r="D115" s="185">
        <f t="shared" si="5"/>
        <v>0</v>
      </c>
    </row>
    <row r="116" spans="2:4">
      <c r="B116" s="186">
        <v>180000</v>
      </c>
      <c r="C116" s="184">
        <f t="shared" si="4"/>
        <v>5734620000</v>
      </c>
      <c r="D116" s="185">
        <f t="shared" si="5"/>
        <v>5355540000</v>
      </c>
    </row>
    <row r="117" spans="2:4">
      <c r="B117" s="186">
        <v>0</v>
      </c>
      <c r="C117" s="184">
        <f t="shared" ref="C117:C125" si="6">+ROUND(B117*UVT,-3)</f>
        <v>0</v>
      </c>
      <c r="D117" s="185">
        <f t="shared" ref="D117:D125" si="7">+ROUND(B117*UVTold,-3)</f>
        <v>0</v>
      </c>
    </row>
    <row r="118" spans="2:4">
      <c r="B118" s="186">
        <v>610000</v>
      </c>
      <c r="C118" s="184">
        <f t="shared" si="6"/>
        <v>19433990000</v>
      </c>
      <c r="D118" s="185">
        <f t="shared" si="7"/>
        <v>18149330000</v>
      </c>
    </row>
    <row r="119" spans="2:4">
      <c r="B119" s="186">
        <v>0</v>
      </c>
      <c r="C119" s="184">
        <f t="shared" si="6"/>
        <v>0</v>
      </c>
      <c r="D119" s="185">
        <f t="shared" si="7"/>
        <v>0</v>
      </c>
    </row>
    <row r="120" spans="2:4">
      <c r="B120" s="186">
        <v>0</v>
      </c>
      <c r="C120" s="184">
        <f t="shared" si="6"/>
        <v>0</v>
      </c>
      <c r="D120" s="185">
        <f t="shared" si="7"/>
        <v>0</v>
      </c>
    </row>
    <row r="121" spans="2:4">
      <c r="B121" s="186">
        <v>0</v>
      </c>
      <c r="C121" s="184">
        <f t="shared" si="6"/>
        <v>0</v>
      </c>
      <c r="D121" s="185">
        <f t="shared" si="7"/>
        <v>0</v>
      </c>
    </row>
    <row r="122" spans="2:4">
      <c r="B122" s="186">
        <v>0</v>
      </c>
      <c r="C122" s="184">
        <f t="shared" si="6"/>
        <v>0</v>
      </c>
      <c r="D122" s="185">
        <f t="shared" si="7"/>
        <v>0</v>
      </c>
    </row>
    <row r="123" spans="2:4">
      <c r="B123" s="186">
        <v>1020000</v>
      </c>
      <c r="C123" s="184">
        <f t="shared" si="6"/>
        <v>32496180000</v>
      </c>
      <c r="D123" s="185">
        <f t="shared" si="7"/>
        <v>30348060000</v>
      </c>
    </row>
    <row r="124" spans="2:4">
      <c r="B124" s="186">
        <v>0</v>
      </c>
      <c r="C124" s="184">
        <f t="shared" si="6"/>
        <v>0</v>
      </c>
      <c r="D124" s="185">
        <f t="shared" si="7"/>
        <v>0</v>
      </c>
    </row>
    <row r="125" spans="2:4" ht="15.75" thickBot="1">
      <c r="B125" s="175">
        <v>2550000</v>
      </c>
      <c r="C125" s="177">
        <f t="shared" si="6"/>
        <v>81240450000</v>
      </c>
      <c r="D125" s="178">
        <f t="shared" si="7"/>
        <v>75870150000</v>
      </c>
    </row>
    <row r="126" spans="2:4"/>
  </sheetData>
  <sheetProtection algorithmName="SHA-512" hashValue="Q9YCBosWKOe06Dwskj9XsKnFdyBS9wd711DlydQDJnv/PWxtkJ9HuFJBCpFpgxH+7wwaCyjIhNL4BhVfUTji3w==" saltValue="OeUU51Zz5cGk6qDVSGelrQ==" spinCount="100000" sheet="1" objects="1" scenarios="1"/>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10" zoomScale="110" zoomScaleNormal="110" zoomScalePageLayoutView="110" workbookViewId="0">
      <selection activeCell="H22" sqref="H22"/>
    </sheetView>
  </sheetViews>
  <sheetFormatPr baseColWidth="10" defaultColWidth="0" defaultRowHeight="15" zeroHeight="1"/>
  <cols>
    <col min="1" max="1" width="5.140625" style="121" customWidth="1"/>
    <col min="2" max="2" width="11.85546875" style="121" customWidth="1"/>
    <col min="3" max="3" width="14.140625" style="121" customWidth="1"/>
    <col min="4" max="4" width="13.85546875" style="121" customWidth="1"/>
    <col min="5" max="5" width="10.28515625" style="121" bestFit="1" customWidth="1"/>
    <col min="6" max="6" width="8.85546875" style="121" customWidth="1"/>
    <col min="7" max="7" width="10.7109375" style="121" customWidth="1"/>
    <col min="8" max="8" width="34.42578125" style="121" bestFit="1" customWidth="1"/>
    <col min="9" max="9" width="15.28515625" style="121" customWidth="1"/>
    <col min="10" max="10" width="12.42578125" style="121" customWidth="1"/>
    <col min="11" max="11" width="8.85546875" style="121" customWidth="1"/>
    <col min="12" max="16384" width="8.85546875" style="121" hidden="1"/>
  </cols>
  <sheetData>
    <row r="1" spans="2:10"/>
    <row r="2" spans="2:10"/>
    <row r="3" spans="2:10"/>
    <row r="4" spans="2:10"/>
    <row r="5" spans="2:10"/>
    <row r="6" spans="2:10"/>
    <row r="7" spans="2:10"/>
    <row r="8" spans="2:10" ht="15.75" thickBot="1"/>
    <row r="9" spans="2:10" ht="15.75" thickBot="1">
      <c r="B9" s="1124" t="s">
        <v>69</v>
      </c>
      <c r="C9" s="1125"/>
      <c r="D9" s="1125"/>
      <c r="E9" s="1126"/>
      <c r="G9" s="12" t="s">
        <v>70</v>
      </c>
      <c r="H9" s="13"/>
      <c r="I9" s="13"/>
      <c r="J9" s="14"/>
    </row>
    <row r="10" spans="2:10">
      <c r="B10" s="9" t="s">
        <v>71</v>
      </c>
      <c r="C10" s="1" t="s">
        <v>72</v>
      </c>
      <c r="D10" s="10" t="s">
        <v>73</v>
      </c>
      <c r="E10" s="11" t="s">
        <v>74</v>
      </c>
      <c r="G10" s="9" t="s">
        <v>71</v>
      </c>
      <c r="H10" s="1" t="s">
        <v>72</v>
      </c>
      <c r="I10" s="10" t="s">
        <v>73</v>
      </c>
      <c r="J10" s="11" t="s">
        <v>74</v>
      </c>
    </row>
    <row r="11" spans="2:10">
      <c r="B11" s="19">
        <v>0</v>
      </c>
      <c r="C11" s="20">
        <v>0</v>
      </c>
      <c r="D11" s="10"/>
      <c r="E11" s="11"/>
      <c r="G11" s="19">
        <v>0</v>
      </c>
      <c r="H11" s="20">
        <v>0</v>
      </c>
      <c r="I11" s="10"/>
      <c r="J11" s="11"/>
    </row>
    <row r="12" spans="2:10">
      <c r="B12" s="19">
        <v>1090</v>
      </c>
      <c r="C12" s="20">
        <v>0.19</v>
      </c>
      <c r="D12" s="10">
        <v>1090</v>
      </c>
      <c r="E12" s="11"/>
      <c r="G12" s="19">
        <v>600</v>
      </c>
      <c r="H12" s="20">
        <v>0.1</v>
      </c>
      <c r="I12" s="10">
        <v>600</v>
      </c>
      <c r="J12" s="11"/>
    </row>
    <row r="13" spans="2:10">
      <c r="B13" s="19">
        <v>1700</v>
      </c>
      <c r="C13" s="20">
        <v>0.28000000000000003</v>
      </c>
      <c r="D13" s="10">
        <v>1700</v>
      </c>
      <c r="E13" s="11">
        <v>116</v>
      </c>
      <c r="G13" s="19">
        <v>1000</v>
      </c>
      <c r="H13" s="20">
        <v>0.2</v>
      </c>
      <c r="I13" s="10">
        <v>1000</v>
      </c>
      <c r="J13" s="11">
        <v>40</v>
      </c>
    </row>
    <row r="14" spans="2:10" ht="15.75" thickBot="1">
      <c r="B14" s="21">
        <v>4100</v>
      </c>
      <c r="C14" s="22">
        <v>0.33</v>
      </c>
      <c r="D14" s="23">
        <v>4100</v>
      </c>
      <c r="E14" s="24">
        <v>788</v>
      </c>
      <c r="G14" s="19">
        <v>2000</v>
      </c>
      <c r="H14" s="20">
        <v>0.3</v>
      </c>
      <c r="I14" s="10">
        <v>2000</v>
      </c>
      <c r="J14" s="11">
        <v>240</v>
      </c>
    </row>
    <row r="15" spans="2:10">
      <c r="G15" s="19">
        <v>3000</v>
      </c>
      <c r="H15" s="20">
        <v>0.33</v>
      </c>
      <c r="I15" s="10">
        <v>3000</v>
      </c>
      <c r="J15" s="11">
        <v>540</v>
      </c>
    </row>
    <row r="16" spans="2:10" ht="15.75" thickBot="1">
      <c r="G16" s="21">
        <v>4000</v>
      </c>
      <c r="H16" s="22">
        <v>0.35</v>
      </c>
      <c r="I16" s="23">
        <v>4000</v>
      </c>
      <c r="J16" s="24">
        <v>870</v>
      </c>
    </row>
    <row r="17" spans="2:10"/>
    <row r="18" spans="2:10" ht="15.75" thickBot="1"/>
    <row r="19" spans="2:10" ht="15.75" thickBot="1">
      <c r="B19" s="1124" t="s">
        <v>75</v>
      </c>
      <c r="C19" s="1125"/>
      <c r="D19" s="1125"/>
      <c r="E19" s="1126"/>
      <c r="G19" s="1124" t="s">
        <v>253</v>
      </c>
      <c r="H19" s="1125"/>
      <c r="I19" s="1125"/>
      <c r="J19" s="1126"/>
    </row>
    <row r="20" spans="2:10" ht="15.75" thickBot="1">
      <c r="B20" s="9" t="s">
        <v>71</v>
      </c>
      <c r="C20" s="1" t="s">
        <v>72</v>
      </c>
      <c r="D20" s="10" t="s">
        <v>73</v>
      </c>
      <c r="E20" s="11" t="s">
        <v>74</v>
      </c>
      <c r="G20" s="15" t="s">
        <v>71</v>
      </c>
      <c r="H20" s="16" t="s">
        <v>72</v>
      </c>
      <c r="I20" s="17" t="s">
        <v>73</v>
      </c>
      <c r="J20" s="18" t="s">
        <v>74</v>
      </c>
    </row>
    <row r="21" spans="2:10">
      <c r="B21" s="19">
        <v>0</v>
      </c>
      <c r="C21" s="20">
        <v>0</v>
      </c>
      <c r="D21" s="10"/>
      <c r="E21" s="11"/>
      <c r="G21" s="25">
        <v>0</v>
      </c>
      <c r="H21" s="26">
        <v>0</v>
      </c>
      <c r="I21" s="27"/>
      <c r="J21" s="28"/>
    </row>
    <row r="22" spans="2:10">
      <c r="B22" s="19">
        <v>95</v>
      </c>
      <c r="C22" s="20">
        <v>0.19</v>
      </c>
      <c r="D22" s="10">
        <v>95</v>
      </c>
      <c r="E22" s="11"/>
      <c r="G22" s="19">
        <v>600</v>
      </c>
      <c r="H22" s="20">
        <v>0.05</v>
      </c>
      <c r="I22" s="10">
        <v>600</v>
      </c>
      <c r="J22" s="11"/>
    </row>
    <row r="23" spans="2:10" ht="15.75" thickBot="1">
      <c r="B23" s="19">
        <v>150</v>
      </c>
      <c r="C23" s="20">
        <v>0.28000000000000003</v>
      </c>
      <c r="D23" s="10">
        <v>150</v>
      </c>
      <c r="E23" s="11">
        <v>10</v>
      </c>
      <c r="G23" s="21">
        <v>1000</v>
      </c>
      <c r="H23" s="22">
        <v>0.1</v>
      </c>
      <c r="I23" s="23">
        <v>1000</v>
      </c>
      <c r="J23" s="24">
        <v>20</v>
      </c>
    </row>
    <row r="24" spans="2:10" ht="15.75" thickBot="1">
      <c r="B24" s="21">
        <v>360</v>
      </c>
      <c r="C24" s="22">
        <v>0.33</v>
      </c>
      <c r="D24" s="23">
        <v>360</v>
      </c>
      <c r="E24" s="24">
        <v>69</v>
      </c>
    </row>
    <row r="25" spans="2:10"/>
    <row r="26" spans="2:10" ht="15.75" thickBot="1"/>
    <row r="27" spans="2:10">
      <c r="B27" s="12" t="s">
        <v>258</v>
      </c>
      <c r="C27" s="13"/>
      <c r="D27" s="14"/>
      <c r="H27" s="1129" t="s">
        <v>269</v>
      </c>
      <c r="I27" s="1130"/>
      <c r="J27" s="1131"/>
    </row>
    <row r="28" spans="2:10">
      <c r="B28" s="70" t="s">
        <v>255</v>
      </c>
      <c r="C28" s="1127" t="s">
        <v>72</v>
      </c>
      <c r="D28" s="1128"/>
      <c r="H28" s="9" t="s">
        <v>264</v>
      </c>
      <c r="I28" s="1" t="s">
        <v>265</v>
      </c>
      <c r="J28" s="71" t="s">
        <v>72</v>
      </c>
    </row>
    <row r="29" spans="2:10">
      <c r="B29" s="70" t="s">
        <v>256</v>
      </c>
      <c r="C29" s="10" t="s">
        <v>257</v>
      </c>
      <c r="D29" s="11" t="s">
        <v>254</v>
      </c>
      <c r="H29" s="9" t="s">
        <v>208</v>
      </c>
      <c r="I29" s="1">
        <v>1</v>
      </c>
      <c r="J29" s="66">
        <v>0</v>
      </c>
    </row>
    <row r="30" spans="2:10">
      <c r="B30" s="9">
        <v>0</v>
      </c>
      <c r="C30" s="517">
        <v>1</v>
      </c>
      <c r="D30" s="518">
        <f>1-C30</f>
        <v>0</v>
      </c>
      <c r="H30" s="9" t="s">
        <v>260</v>
      </c>
      <c r="I30" s="1">
        <v>2</v>
      </c>
      <c r="J30" s="66">
        <v>0.5</v>
      </c>
    </row>
    <row r="31" spans="2:10">
      <c r="B31" s="9">
        <v>350</v>
      </c>
      <c r="C31" s="65">
        <v>0.9</v>
      </c>
      <c r="D31" s="66">
        <f>1-C31</f>
        <v>9.9999999999999978E-2</v>
      </c>
      <c r="H31" s="9" t="s">
        <v>262</v>
      </c>
      <c r="I31" s="1">
        <v>3</v>
      </c>
      <c r="J31" s="66">
        <v>0.5</v>
      </c>
    </row>
    <row r="32" spans="2:10">
      <c r="B32" s="9">
        <v>410</v>
      </c>
      <c r="C32" s="65">
        <v>0.8</v>
      </c>
      <c r="D32" s="66">
        <f t="shared" ref="D32:D36" si="0">1-C32</f>
        <v>0.19999999999999996</v>
      </c>
      <c r="H32" s="9" t="s">
        <v>261</v>
      </c>
      <c r="I32" s="1">
        <v>4</v>
      </c>
      <c r="J32" s="66">
        <v>0.25</v>
      </c>
    </row>
    <row r="33" spans="2:10">
      <c r="B33" s="9">
        <v>470</v>
      </c>
      <c r="C33" s="65">
        <v>0.6</v>
      </c>
      <c r="D33" s="66">
        <f t="shared" si="0"/>
        <v>0.4</v>
      </c>
      <c r="H33" s="9" t="s">
        <v>266</v>
      </c>
      <c r="I33" s="1">
        <v>5</v>
      </c>
      <c r="J33" s="66">
        <v>0.5</v>
      </c>
    </row>
    <row r="34" spans="2:10" ht="15.75" thickBot="1">
      <c r="B34" s="9">
        <v>530</v>
      </c>
      <c r="C34" s="65">
        <v>0.4</v>
      </c>
      <c r="D34" s="66">
        <f t="shared" si="0"/>
        <v>0.6</v>
      </c>
      <c r="H34" s="67" t="s">
        <v>263</v>
      </c>
      <c r="I34" s="72">
        <v>6</v>
      </c>
      <c r="J34" s="69">
        <v>0.5</v>
      </c>
    </row>
    <row r="35" spans="2:10">
      <c r="B35" s="9">
        <v>590</v>
      </c>
      <c r="C35" s="65">
        <v>0.2</v>
      </c>
      <c r="D35" s="66">
        <f t="shared" si="0"/>
        <v>0.8</v>
      </c>
      <c r="H35" s="64" t="s">
        <v>270</v>
      </c>
      <c r="I35" s="13">
        <v>7</v>
      </c>
      <c r="J35" s="73">
        <v>0</v>
      </c>
    </row>
    <row r="36" spans="2:10" ht="15.75" thickBot="1">
      <c r="B36" s="67">
        <v>650</v>
      </c>
      <c r="C36" s="68">
        <v>0</v>
      </c>
      <c r="D36" s="69">
        <f t="shared" si="0"/>
        <v>1</v>
      </c>
      <c r="H36" s="9" t="s">
        <v>271</v>
      </c>
      <c r="I36" s="1">
        <v>8</v>
      </c>
      <c r="J36" s="66">
        <v>0</v>
      </c>
    </row>
    <row r="37" spans="2:10">
      <c r="H37" s="9" t="s">
        <v>272</v>
      </c>
      <c r="I37" s="1">
        <v>9</v>
      </c>
      <c r="J37" s="66">
        <v>0</v>
      </c>
    </row>
    <row r="38" spans="2:10">
      <c r="H38" s="9" t="s">
        <v>273</v>
      </c>
      <c r="I38" s="1">
        <v>10</v>
      </c>
      <c r="J38" s="66">
        <v>0</v>
      </c>
    </row>
    <row r="39" spans="2:10" ht="15.75" thickBot="1">
      <c r="H39" s="67" t="s">
        <v>333</v>
      </c>
      <c r="I39" s="72">
        <v>11</v>
      </c>
      <c r="J39" s="69">
        <v>0</v>
      </c>
    </row>
    <row r="40" spans="2:10"/>
    <row r="41" spans="2:10"/>
    <row r="42" spans="2:10" ht="15.75" hidden="1" customHeight="1"/>
    <row r="43" spans="2:10" hidden="1"/>
  </sheetData>
  <sheetProtection algorithmName="SHA-512" hashValue="mr5WO+PKsWjSQsz/zdGXR73oqNWy6p6/QIhr3l7jfUA7HRtvFFnFIYE0Y1RwcDtdO9cvbxJEYjdbYUFM9qaJdw==" saltValue="zX5AZdd4LfwjdMBfx44m/g==" spinCount="100000" sheet="1" objects="1" scenarios="1"/>
  <mergeCells count="5">
    <mergeCell ref="B19:E19"/>
    <mergeCell ref="B9:E9"/>
    <mergeCell ref="G19:J19"/>
    <mergeCell ref="C28:D28"/>
    <mergeCell ref="H27:J27"/>
  </mergeCells>
  <pageMargins left="0.7" right="0.7" top="0.75" bottom="0.75" header="0.3" footer="0.3"/>
  <pageSetup orientation="portrait" horizontalDpi="4294967292" verticalDpi="4294967292"/>
  <drawing r:id="rId1"/>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5"/>
  <sheetViews>
    <sheetView topLeftCell="A70" zoomScale="110" zoomScaleNormal="110" zoomScalePageLayoutView="170" workbookViewId="0">
      <selection activeCell="D87" sqref="D87"/>
    </sheetView>
  </sheetViews>
  <sheetFormatPr baseColWidth="10" defaultColWidth="0" defaultRowHeight="15" zeroHeight="1"/>
  <cols>
    <col min="1" max="1" width="10" style="131" customWidth="1"/>
    <col min="2" max="2" width="8.85546875" style="131" customWidth="1"/>
    <col min="3" max="3" width="87.42578125" style="131" customWidth="1"/>
    <col min="4" max="4" width="22.7109375" style="131" customWidth="1"/>
    <col min="5" max="5" width="22.85546875" style="131" customWidth="1"/>
    <col min="6" max="7" width="8.85546875" style="130" customWidth="1"/>
    <col min="8" max="8" width="8.85546875" style="131" customWidth="1"/>
    <col min="9" max="16384" width="8.85546875" style="131" hidden="1"/>
  </cols>
  <sheetData>
    <row r="1" spans="1:8" ht="15.75" thickBot="1">
      <c r="A1" s="646"/>
      <c r="B1" s="647"/>
      <c r="C1" s="647"/>
      <c r="D1" s="647"/>
      <c r="E1" s="647"/>
      <c r="H1" s="130"/>
    </row>
    <row r="2" spans="1:8">
      <c r="A2" s="138"/>
      <c r="B2" s="139"/>
      <c r="C2" s="140"/>
      <c r="D2" s="140"/>
      <c r="E2" s="141"/>
      <c r="F2" s="142"/>
      <c r="G2" s="142"/>
      <c r="H2" s="143"/>
    </row>
    <row r="3" spans="1:8">
      <c r="A3" s="138"/>
      <c r="B3" s="138"/>
      <c r="C3" s="142"/>
      <c r="D3" s="142"/>
      <c r="E3" s="143"/>
      <c r="F3" s="142"/>
      <c r="G3" s="142"/>
      <c r="H3" s="143"/>
    </row>
    <row r="4" spans="1:8">
      <c r="A4" s="138"/>
      <c r="B4" s="138"/>
      <c r="C4" s="142"/>
      <c r="D4" s="142"/>
      <c r="E4" s="143"/>
      <c r="F4" s="142"/>
      <c r="G4" s="142"/>
      <c r="H4" s="143"/>
    </row>
    <row r="5" spans="1:8">
      <c r="A5" s="138"/>
      <c r="B5" s="138"/>
      <c r="C5" s="142"/>
      <c r="D5" s="142"/>
      <c r="E5" s="143"/>
      <c r="F5" s="142"/>
      <c r="G5" s="142"/>
      <c r="H5" s="143"/>
    </row>
    <row r="6" spans="1:8">
      <c r="A6" s="138"/>
      <c r="B6" s="138"/>
      <c r="C6" s="142"/>
      <c r="D6" s="142"/>
      <c r="E6" s="143"/>
      <c r="F6" s="142"/>
      <c r="G6" s="142"/>
      <c r="H6" s="143"/>
    </row>
    <row r="7" spans="1:8">
      <c r="A7" s="138"/>
      <c r="B7" s="138"/>
      <c r="C7" s="142"/>
      <c r="D7" s="142"/>
      <c r="E7" s="143"/>
      <c r="F7" s="142"/>
      <c r="G7" s="142"/>
      <c r="H7" s="143"/>
    </row>
    <row r="8" spans="1:8" ht="15.75" thickBot="1">
      <c r="A8" s="138"/>
      <c r="B8" s="138"/>
      <c r="C8" s="142"/>
      <c r="D8" s="142"/>
      <c r="E8" s="143"/>
      <c r="F8" s="142"/>
      <c r="G8" s="142"/>
      <c r="H8" s="143"/>
    </row>
    <row r="9" spans="1:8" ht="16.5" thickBot="1">
      <c r="A9" s="138"/>
      <c r="B9" s="702" t="s">
        <v>339</v>
      </c>
      <c r="C9" s="703"/>
      <c r="D9" s="703"/>
      <c r="E9" s="704"/>
      <c r="F9" s="142"/>
      <c r="G9" s="142"/>
      <c r="H9" s="143"/>
    </row>
    <row r="10" spans="1:8">
      <c r="A10" s="138"/>
      <c r="B10" s="138"/>
      <c r="C10" s="142"/>
      <c r="D10" s="142"/>
      <c r="E10" s="143"/>
      <c r="F10" s="142"/>
      <c r="G10" s="142"/>
      <c r="H10" s="143"/>
    </row>
    <row r="11" spans="1:8">
      <c r="A11" s="138"/>
      <c r="B11" s="649" t="s">
        <v>340</v>
      </c>
      <c r="C11" s="650"/>
      <c r="D11" s="651" t="s">
        <v>247</v>
      </c>
      <c r="E11" s="652" t="s">
        <v>246</v>
      </c>
      <c r="F11" s="142"/>
      <c r="G11" s="142"/>
      <c r="H11" s="143"/>
    </row>
    <row r="12" spans="1:8">
      <c r="A12" s="132"/>
      <c r="B12" s="549" t="s">
        <v>341</v>
      </c>
      <c r="C12" s="548"/>
      <c r="D12" s="134">
        <v>0</v>
      </c>
      <c r="E12" s="135">
        <v>0</v>
      </c>
      <c r="H12" s="133"/>
    </row>
    <row r="13" spans="1:8">
      <c r="A13" s="132"/>
      <c r="B13" s="550"/>
      <c r="C13" s="551"/>
      <c r="D13" s="134"/>
      <c r="E13" s="135"/>
      <c r="H13" s="133"/>
    </row>
    <row r="14" spans="1:8">
      <c r="A14" s="132"/>
      <c r="B14" s="550" t="s">
        <v>342</v>
      </c>
      <c r="C14" s="551"/>
      <c r="D14" s="134">
        <v>0</v>
      </c>
      <c r="E14" s="135">
        <v>0</v>
      </c>
      <c r="H14" s="133"/>
    </row>
    <row r="15" spans="1:8">
      <c r="A15" s="132"/>
      <c r="B15" s="550"/>
      <c r="C15" s="551"/>
      <c r="D15" s="134"/>
      <c r="E15" s="135"/>
      <c r="H15" s="133"/>
    </row>
    <row r="16" spans="1:8">
      <c r="A16" s="132"/>
      <c r="B16" s="550" t="s">
        <v>343</v>
      </c>
      <c r="C16" s="551"/>
      <c r="D16" s="134">
        <v>0</v>
      </c>
      <c r="E16" s="135">
        <v>0</v>
      </c>
      <c r="H16" s="133"/>
    </row>
    <row r="17" spans="1:8">
      <c r="A17" s="132"/>
      <c r="B17" s="550"/>
      <c r="C17" s="551"/>
      <c r="D17" s="134"/>
      <c r="E17" s="135"/>
      <c r="H17" s="133"/>
    </row>
    <row r="18" spans="1:8">
      <c r="A18" s="132"/>
      <c r="B18" s="550" t="s">
        <v>344</v>
      </c>
      <c r="C18" s="551"/>
      <c r="D18" s="134">
        <v>0</v>
      </c>
      <c r="E18" s="135">
        <v>0</v>
      </c>
      <c r="H18" s="133"/>
    </row>
    <row r="19" spans="1:8">
      <c r="A19" s="132"/>
      <c r="B19" s="550"/>
      <c r="C19" s="551"/>
      <c r="D19" s="134"/>
      <c r="E19" s="135"/>
      <c r="H19" s="133"/>
    </row>
    <row r="20" spans="1:8">
      <c r="A20" s="132"/>
      <c r="B20" s="550" t="s">
        <v>345</v>
      </c>
      <c r="C20" s="551"/>
      <c r="D20" s="134">
        <v>0</v>
      </c>
      <c r="E20" s="135">
        <v>0</v>
      </c>
      <c r="H20" s="133"/>
    </row>
    <row r="21" spans="1:8">
      <c r="A21" s="132"/>
      <c r="B21" s="550"/>
      <c r="C21" s="551"/>
      <c r="D21" s="134"/>
      <c r="E21" s="135"/>
      <c r="H21" s="133"/>
    </row>
    <row r="22" spans="1:8">
      <c r="A22" s="132"/>
      <c r="B22" s="550" t="s">
        <v>346</v>
      </c>
      <c r="C22" s="551"/>
      <c r="D22" s="134">
        <v>0</v>
      </c>
      <c r="E22" s="135">
        <v>0</v>
      </c>
      <c r="H22" s="133"/>
    </row>
    <row r="23" spans="1:8">
      <c r="A23" s="132"/>
      <c r="B23" s="550"/>
      <c r="C23" s="551"/>
      <c r="D23" s="134"/>
      <c r="E23" s="135"/>
      <c r="H23" s="133"/>
    </row>
    <row r="24" spans="1:8">
      <c r="A24" s="132"/>
      <c r="B24" s="550" t="s">
        <v>347</v>
      </c>
      <c r="C24" s="551"/>
      <c r="D24" s="134">
        <v>0</v>
      </c>
      <c r="E24" s="135">
        <v>0</v>
      </c>
      <c r="H24" s="133"/>
    </row>
    <row r="25" spans="1:8">
      <c r="A25" s="132"/>
      <c r="B25" s="550"/>
      <c r="C25" s="551"/>
      <c r="D25" s="134"/>
      <c r="E25" s="135"/>
      <c r="H25" s="133"/>
    </row>
    <row r="26" spans="1:8">
      <c r="A26" s="132"/>
      <c r="B26" s="550" t="s">
        <v>348</v>
      </c>
      <c r="C26" s="551"/>
      <c r="D26" s="134">
        <v>0</v>
      </c>
      <c r="E26" s="134">
        <v>0</v>
      </c>
      <c r="H26" s="133"/>
    </row>
    <row r="27" spans="1:8">
      <c r="A27" s="132"/>
      <c r="B27" s="550"/>
      <c r="C27" s="551"/>
      <c r="D27" s="134"/>
      <c r="E27" s="135"/>
      <c r="H27" s="133"/>
    </row>
    <row r="28" spans="1:8">
      <c r="A28" s="132"/>
      <c r="B28" s="550" t="s">
        <v>349</v>
      </c>
      <c r="C28" s="551"/>
      <c r="D28" s="134">
        <v>0</v>
      </c>
      <c r="E28" s="134">
        <v>0</v>
      </c>
      <c r="H28" s="133"/>
    </row>
    <row r="29" spans="1:8">
      <c r="A29" s="132"/>
      <c r="B29" s="550"/>
      <c r="C29" s="551"/>
      <c r="D29" s="134"/>
      <c r="E29" s="135"/>
      <c r="H29" s="133"/>
    </row>
    <row r="30" spans="1:8">
      <c r="A30" s="132"/>
      <c r="B30" s="550" t="s">
        <v>350</v>
      </c>
      <c r="C30" s="551"/>
      <c r="D30" s="134">
        <v>0</v>
      </c>
      <c r="E30" s="134">
        <v>0</v>
      </c>
      <c r="H30" s="133"/>
    </row>
    <row r="31" spans="1:8">
      <c r="A31" s="132"/>
      <c r="B31" s="550"/>
      <c r="C31" s="551"/>
      <c r="D31" s="134"/>
      <c r="E31" s="135"/>
      <c r="H31" s="133"/>
    </row>
    <row r="32" spans="1:8">
      <c r="A32" s="132"/>
      <c r="B32" s="550" t="s">
        <v>351</v>
      </c>
      <c r="C32" s="551"/>
      <c r="D32" s="134">
        <v>0</v>
      </c>
      <c r="E32" s="134">
        <v>0</v>
      </c>
      <c r="H32" s="133"/>
    </row>
    <row r="33" spans="1:8">
      <c r="A33" s="132"/>
      <c r="B33" s="550"/>
      <c r="C33" s="551"/>
      <c r="D33" s="134"/>
      <c r="E33" s="135"/>
      <c r="H33" s="133"/>
    </row>
    <row r="34" spans="1:8">
      <c r="A34" s="132"/>
      <c r="B34" s="696" t="s">
        <v>559</v>
      </c>
      <c r="C34" s="697"/>
      <c r="D34" s="134">
        <v>0</v>
      </c>
      <c r="E34" s="134">
        <v>0</v>
      </c>
      <c r="H34" s="133"/>
    </row>
    <row r="35" spans="1:8">
      <c r="A35" s="132"/>
      <c r="B35" s="612"/>
      <c r="C35" s="613"/>
      <c r="D35" s="614"/>
      <c r="E35" s="615"/>
      <c r="H35" s="133"/>
    </row>
    <row r="36" spans="1:8" ht="29.25" customHeight="1">
      <c r="A36" s="132"/>
      <c r="B36" s="715" t="s">
        <v>352</v>
      </c>
      <c r="C36" s="716"/>
      <c r="D36" s="134">
        <v>0</v>
      </c>
      <c r="E36" s="134">
        <v>0</v>
      </c>
      <c r="H36" s="133"/>
    </row>
    <row r="37" spans="1:8">
      <c r="A37" s="132"/>
      <c r="B37" s="550" t="s">
        <v>353</v>
      </c>
      <c r="C37" s="551"/>
      <c r="D37" s="134"/>
      <c r="E37" s="135"/>
      <c r="H37" s="133"/>
    </row>
    <row r="38" spans="1:8" ht="26.25" customHeight="1">
      <c r="A38" s="132"/>
      <c r="B38" s="717" t="s">
        <v>354</v>
      </c>
      <c r="C38" s="718"/>
      <c r="D38" s="134">
        <v>0</v>
      </c>
      <c r="E38" s="134">
        <v>0</v>
      </c>
      <c r="H38" s="133"/>
    </row>
    <row r="39" spans="1:8">
      <c r="A39" s="132"/>
      <c r="B39" s="550"/>
      <c r="C39" s="551"/>
      <c r="D39" s="136"/>
      <c r="E39" s="137"/>
      <c r="H39" s="133"/>
    </row>
    <row r="40" spans="1:8" ht="26.25" customHeight="1">
      <c r="A40" s="132"/>
      <c r="B40" s="717" t="s">
        <v>355</v>
      </c>
      <c r="C40" s="718"/>
      <c r="D40" s="134">
        <v>0</v>
      </c>
      <c r="E40" s="134">
        <v>0</v>
      </c>
      <c r="H40" s="133"/>
    </row>
    <row r="41" spans="1:8">
      <c r="A41" s="132"/>
      <c r="B41" s="550" t="s">
        <v>356</v>
      </c>
      <c r="C41" s="551"/>
      <c r="D41" s="136"/>
      <c r="E41" s="137"/>
      <c r="H41" s="133"/>
    </row>
    <row r="42" spans="1:8">
      <c r="A42" s="132"/>
      <c r="B42" s="550" t="s">
        <v>356</v>
      </c>
      <c r="C42" s="551"/>
      <c r="D42" s="136"/>
      <c r="E42" s="137"/>
      <c r="H42" s="133"/>
    </row>
    <row r="43" spans="1:8">
      <c r="A43" s="138"/>
      <c r="B43" s="634"/>
      <c r="C43" s="145" t="s">
        <v>357</v>
      </c>
      <c r="D43" s="158">
        <f>SUM(D12:D42)</f>
        <v>0</v>
      </c>
      <c r="E43" s="159">
        <f>SUM(E12:E42)</f>
        <v>0</v>
      </c>
      <c r="H43" s="133"/>
    </row>
    <row r="44" spans="1:8">
      <c r="A44" s="138"/>
      <c r="B44" s="146" t="s">
        <v>358</v>
      </c>
      <c r="C44" s="653"/>
      <c r="D44" s="654"/>
      <c r="E44" s="655"/>
      <c r="H44" s="133"/>
    </row>
    <row r="45" spans="1:8">
      <c r="A45" s="138"/>
      <c r="B45" s="634" t="s">
        <v>359</v>
      </c>
      <c r="C45" s="147"/>
      <c r="D45" s="134">
        <v>0</v>
      </c>
      <c r="E45" s="137">
        <v>0</v>
      </c>
      <c r="H45" s="133"/>
    </row>
    <row r="46" spans="1:8">
      <c r="A46" s="138"/>
      <c r="B46" s="634"/>
      <c r="C46" s="145" t="s">
        <v>360</v>
      </c>
      <c r="D46" s="158">
        <f>+D43-D45</f>
        <v>0</v>
      </c>
      <c r="E46" s="159">
        <f>+E43-E45</f>
        <v>0</v>
      </c>
      <c r="H46" s="133"/>
    </row>
    <row r="47" spans="1:8" ht="16.5" customHeight="1">
      <c r="A47" s="138"/>
      <c r="B47" s="633"/>
      <c r="C47" s="148" t="s">
        <v>361</v>
      </c>
      <c r="D47" s="160">
        <f>+IF(D46&gt;0,D46/D43,0)</f>
        <v>0</v>
      </c>
      <c r="E47" s="143"/>
      <c r="H47" s="133"/>
    </row>
    <row r="48" spans="1:8">
      <c r="A48" s="138"/>
      <c r="B48" s="634"/>
      <c r="C48" s="147"/>
      <c r="D48" s="161"/>
      <c r="E48" s="143"/>
      <c r="H48" s="133"/>
    </row>
    <row r="49" spans="1:8">
      <c r="A49" s="138"/>
      <c r="B49" s="633" t="s">
        <v>362</v>
      </c>
      <c r="C49" s="147"/>
      <c r="D49" s="161"/>
      <c r="E49" s="143"/>
      <c r="H49" s="133"/>
    </row>
    <row r="50" spans="1:8">
      <c r="A50" s="138"/>
      <c r="B50" s="146"/>
      <c r="C50" s="147"/>
      <c r="D50" s="161"/>
      <c r="E50" s="143"/>
      <c r="H50" s="133"/>
    </row>
    <row r="51" spans="1:8">
      <c r="A51" s="138"/>
      <c r="B51" s="633" t="s">
        <v>363</v>
      </c>
      <c r="C51" s="147"/>
      <c r="D51" s="161">
        <f>+D46</f>
        <v>0</v>
      </c>
      <c r="E51" s="143"/>
      <c r="H51" s="133"/>
    </row>
    <row r="52" spans="1:8">
      <c r="A52" s="138"/>
      <c r="B52" s="633"/>
      <c r="C52" s="147"/>
      <c r="D52" s="161"/>
      <c r="E52" s="143"/>
      <c r="H52" s="133"/>
    </row>
    <row r="53" spans="1:8">
      <c r="A53" s="138"/>
      <c r="B53" s="634" t="s">
        <v>364</v>
      </c>
      <c r="C53" s="147"/>
      <c r="D53" s="161"/>
      <c r="E53" s="143"/>
      <c r="H53" s="133"/>
    </row>
    <row r="54" spans="1:8">
      <c r="A54" s="138"/>
      <c r="B54" s="634"/>
      <c r="C54" s="147"/>
      <c r="D54" s="161"/>
      <c r="E54" s="143"/>
      <c r="H54" s="133"/>
    </row>
    <row r="55" spans="1:8">
      <c r="A55" s="138"/>
      <c r="B55" s="149"/>
      <c r="C55" s="147" t="s">
        <v>365</v>
      </c>
      <c r="D55" s="162">
        <f>-ROUND(D20*D47,-3)</f>
        <v>0</v>
      </c>
      <c r="E55" s="143"/>
      <c r="H55" s="133"/>
    </row>
    <row r="56" spans="1:8">
      <c r="A56" s="138"/>
      <c r="B56" s="149"/>
      <c r="C56" s="147"/>
      <c r="D56" s="162"/>
      <c r="E56" s="143"/>
      <c r="H56" s="133"/>
    </row>
    <row r="57" spans="1:8" ht="39" customHeight="1">
      <c r="A57" s="138"/>
      <c r="B57" s="707" t="s">
        <v>366</v>
      </c>
      <c r="C57" s="708"/>
      <c r="D57" s="648">
        <v>0</v>
      </c>
      <c r="E57" s="143"/>
      <c r="H57" s="133"/>
    </row>
    <row r="58" spans="1:8">
      <c r="A58" s="138"/>
      <c r="B58" s="149"/>
      <c r="C58" s="147"/>
      <c r="D58" s="162"/>
      <c r="E58" s="143"/>
      <c r="H58" s="133"/>
    </row>
    <row r="59" spans="1:8">
      <c r="A59" s="138"/>
      <c r="B59" s="150"/>
      <c r="C59" s="147"/>
      <c r="D59" s="162"/>
      <c r="E59" s="143"/>
      <c r="H59" s="133"/>
    </row>
    <row r="60" spans="1:8">
      <c r="A60" s="138"/>
      <c r="B60" s="150"/>
      <c r="C60" s="147" t="s">
        <v>367</v>
      </c>
      <c r="D60" s="162">
        <f>-ROUND(D38*D47,-3)</f>
        <v>0</v>
      </c>
      <c r="E60" s="143"/>
      <c r="H60" s="133"/>
    </row>
    <row r="61" spans="1:8">
      <c r="A61" s="138"/>
      <c r="B61" s="149"/>
      <c r="C61" s="147"/>
      <c r="D61" s="162"/>
      <c r="E61" s="143"/>
      <c r="H61" s="133"/>
    </row>
    <row r="62" spans="1:8">
      <c r="A62" s="138"/>
      <c r="B62" s="634" t="s">
        <v>368</v>
      </c>
      <c r="C62" s="147" t="s">
        <v>369</v>
      </c>
      <c r="D62" s="162"/>
      <c r="E62" s="143"/>
      <c r="H62" s="133"/>
    </row>
    <row r="63" spans="1:8">
      <c r="A63" s="138"/>
      <c r="B63" s="149"/>
      <c r="C63" s="147"/>
      <c r="D63" s="162"/>
      <c r="E63" s="143"/>
      <c r="H63" s="133"/>
    </row>
    <row r="64" spans="1:8" ht="27.75" customHeight="1">
      <c r="A64" s="138"/>
      <c r="B64" s="707" t="s">
        <v>370</v>
      </c>
      <c r="C64" s="708"/>
      <c r="D64" s="162">
        <f>-ROUND(D36,-3)</f>
        <v>0</v>
      </c>
      <c r="E64" s="143"/>
      <c r="H64" s="133"/>
    </row>
    <row r="65" spans="1:8">
      <c r="A65" s="138"/>
      <c r="B65" s="149"/>
      <c r="C65" s="147"/>
      <c r="D65" s="162"/>
      <c r="E65" s="143"/>
      <c r="H65" s="133"/>
    </row>
    <row r="66" spans="1:8">
      <c r="A66" s="138"/>
      <c r="B66" s="709" t="s">
        <v>371</v>
      </c>
      <c r="C66" s="710"/>
      <c r="D66" s="162">
        <f>-ROUND(IF(D28&gt;(8000*UVT),(8000*UVT),D28),-3)</f>
        <v>0</v>
      </c>
      <c r="E66" s="143"/>
      <c r="H66" s="133"/>
    </row>
    <row r="67" spans="1:8">
      <c r="A67" s="138"/>
      <c r="B67" s="149"/>
      <c r="C67" s="151"/>
      <c r="D67" s="162"/>
      <c r="E67" s="143"/>
      <c r="H67" s="133"/>
    </row>
    <row r="68" spans="1:8">
      <c r="A68" s="138"/>
      <c r="B68" s="711" t="s">
        <v>372</v>
      </c>
      <c r="C68" s="712"/>
      <c r="D68" s="162">
        <f>-ROUND(IF(D26&gt;(19000*UVT),(19000*UVT),D26),-3)</f>
        <v>0</v>
      </c>
      <c r="E68" s="143"/>
      <c r="H68" s="133"/>
    </row>
    <row r="69" spans="1:8">
      <c r="A69" s="138"/>
      <c r="B69" s="150"/>
      <c r="C69" s="635"/>
      <c r="D69" s="162"/>
      <c r="E69" s="143"/>
      <c r="H69" s="133"/>
    </row>
    <row r="70" spans="1:8" ht="51.75" customHeight="1">
      <c r="A70" s="138"/>
      <c r="B70" s="713" t="s">
        <v>373</v>
      </c>
      <c r="C70" s="714"/>
      <c r="D70" s="162">
        <f>-D14</f>
        <v>0</v>
      </c>
      <c r="E70" s="143"/>
      <c r="H70" s="133"/>
    </row>
    <row r="71" spans="1:8">
      <c r="A71" s="138"/>
      <c r="B71" s="634"/>
      <c r="C71" s="147"/>
      <c r="D71" s="162"/>
      <c r="E71" s="143"/>
      <c r="H71" s="133"/>
    </row>
    <row r="72" spans="1:8" ht="15.75" thickBot="1">
      <c r="A72" s="138"/>
      <c r="B72" s="713" t="s">
        <v>374</v>
      </c>
      <c r="C72" s="714"/>
      <c r="D72" s="163">
        <f>-D18</f>
        <v>0</v>
      </c>
      <c r="E72" s="143"/>
      <c r="H72" s="133"/>
    </row>
    <row r="73" spans="1:8">
      <c r="A73" s="138"/>
      <c r="B73" s="634"/>
      <c r="C73" s="152" t="s">
        <v>375</v>
      </c>
      <c r="D73" s="164">
        <f>IF(SUM(D51:D72)&gt;0,SUM(D51:D72),0)</f>
        <v>0</v>
      </c>
      <c r="E73" s="143"/>
      <c r="F73" s="142"/>
      <c r="G73" s="142"/>
      <c r="H73" s="143"/>
    </row>
    <row r="74" spans="1:8">
      <c r="A74" s="138"/>
      <c r="B74" s="634"/>
      <c r="C74" s="153"/>
      <c r="D74" s="165"/>
      <c r="E74" s="143"/>
      <c r="F74" s="142"/>
      <c r="G74" s="142"/>
      <c r="H74" s="143"/>
    </row>
    <row r="75" spans="1:8" ht="15.75" thickBot="1">
      <c r="A75" s="138"/>
      <c r="B75" s="633"/>
      <c r="C75" s="152" t="s">
        <v>376</v>
      </c>
      <c r="D75" s="552">
        <v>3.5000000000000003E-2</v>
      </c>
      <c r="E75" s="143"/>
      <c r="F75" s="142"/>
      <c r="G75" s="142"/>
      <c r="H75" s="143"/>
    </row>
    <row r="76" spans="1:8">
      <c r="A76" s="138"/>
      <c r="B76" s="633"/>
      <c r="C76" s="152"/>
      <c r="D76" s="553"/>
      <c r="E76" s="143"/>
      <c r="F76" s="142"/>
      <c r="G76" s="142"/>
      <c r="H76" s="143"/>
    </row>
    <row r="77" spans="1:8">
      <c r="A77" s="138"/>
      <c r="B77" s="634"/>
      <c r="C77" s="152" t="s">
        <v>377</v>
      </c>
      <c r="D77" s="165">
        <f>IF(D73&gt;0,ROUND(D73*D75,-3),0)</f>
        <v>0</v>
      </c>
      <c r="E77" s="143"/>
      <c r="F77" s="142"/>
      <c r="G77" s="142"/>
      <c r="H77" s="143"/>
    </row>
    <row r="78" spans="1:8">
      <c r="A78" s="138"/>
      <c r="B78" s="633"/>
      <c r="C78" s="719" t="s">
        <v>378</v>
      </c>
      <c r="D78" s="165"/>
      <c r="E78" s="143"/>
      <c r="F78" s="142"/>
      <c r="G78" s="142"/>
      <c r="H78" s="143"/>
    </row>
    <row r="79" spans="1:8">
      <c r="A79" s="138"/>
      <c r="B79" s="634"/>
      <c r="C79" s="719"/>
      <c r="D79" s="165"/>
      <c r="E79" s="143"/>
      <c r="F79" s="142"/>
      <c r="G79" s="142"/>
      <c r="H79" s="143"/>
    </row>
    <row r="80" spans="1:8">
      <c r="A80" s="138"/>
      <c r="B80" s="634"/>
      <c r="C80" s="154"/>
      <c r="D80" s="165"/>
      <c r="E80" s="143"/>
      <c r="F80" s="142"/>
      <c r="G80" s="142"/>
      <c r="H80" s="143"/>
    </row>
    <row r="81" spans="1:8" ht="30" customHeight="1">
      <c r="A81" s="138"/>
      <c r="B81" s="705" t="s">
        <v>379</v>
      </c>
      <c r="C81" s="706"/>
      <c r="D81" s="165">
        <v>0</v>
      </c>
      <c r="E81" s="143"/>
      <c r="F81" s="142"/>
      <c r="G81" s="142"/>
      <c r="H81" s="143"/>
    </row>
    <row r="82" spans="1:8">
      <c r="A82" s="138"/>
      <c r="B82" s="694" t="s">
        <v>380</v>
      </c>
      <c r="C82" s="695"/>
      <c r="D82" s="165"/>
      <c r="E82" s="143"/>
      <c r="F82" s="142"/>
      <c r="G82" s="142"/>
      <c r="H82" s="143"/>
    </row>
    <row r="83" spans="1:8">
      <c r="A83" s="138"/>
      <c r="B83" s="700"/>
      <c r="C83" s="701"/>
      <c r="D83" s="165"/>
      <c r="E83" s="143"/>
      <c r="F83" s="142"/>
      <c r="G83" s="142"/>
      <c r="H83" s="143"/>
    </row>
    <row r="84" spans="1:8">
      <c r="A84" s="138"/>
      <c r="B84" s="698" t="s">
        <v>381</v>
      </c>
      <c r="C84" s="699"/>
      <c r="D84" s="166">
        <f>+D77+D81</f>
        <v>0</v>
      </c>
      <c r="E84" s="143"/>
      <c r="F84" s="142"/>
      <c r="G84" s="142"/>
      <c r="H84" s="143"/>
    </row>
    <row r="85" spans="1:8">
      <c r="A85" s="138"/>
      <c r="B85" s="698" t="s">
        <v>443</v>
      </c>
      <c r="C85" s="699"/>
      <c r="D85" s="166">
        <f>+'Resumen Tributario'!H32</f>
        <v>0</v>
      </c>
      <c r="E85" s="143"/>
      <c r="F85" s="142"/>
      <c r="G85" s="142"/>
      <c r="H85" s="143"/>
    </row>
    <row r="86" spans="1:8">
      <c r="A86" s="138"/>
      <c r="B86" s="501"/>
      <c r="C86" s="155" t="s">
        <v>450</v>
      </c>
      <c r="D86" s="166">
        <f>+IF(D85&gt;D84,0,D84-D85)</f>
        <v>0</v>
      </c>
      <c r="E86" s="143"/>
      <c r="F86" s="142"/>
      <c r="G86" s="142"/>
      <c r="H86" s="143"/>
    </row>
    <row r="87" spans="1:8">
      <c r="A87" s="138"/>
      <c r="B87" s="138"/>
      <c r="C87" s="156" t="s">
        <v>382</v>
      </c>
      <c r="D87" s="506">
        <f>'Resumen Tributario'!H22</f>
        <v>0</v>
      </c>
      <c r="E87" s="143"/>
      <c r="F87" s="142"/>
      <c r="G87" s="142"/>
      <c r="H87" s="143"/>
    </row>
    <row r="88" spans="1:8">
      <c r="A88" s="138"/>
      <c r="B88" s="138"/>
      <c r="C88" s="503" t="s">
        <v>452</v>
      </c>
      <c r="D88" s="502">
        <f>+IF(D86&gt;D87,D86,0)</f>
        <v>0</v>
      </c>
      <c r="E88" s="143"/>
      <c r="F88" s="142"/>
      <c r="G88" s="142"/>
      <c r="H88" s="143"/>
    </row>
    <row r="89" spans="1:8">
      <c r="A89" s="138"/>
      <c r="B89" s="138"/>
      <c r="C89" s="367" t="s">
        <v>29</v>
      </c>
      <c r="D89" s="386">
        <f>D88/UVT</f>
        <v>0</v>
      </c>
      <c r="E89" s="143"/>
      <c r="F89" s="142"/>
      <c r="G89" s="142"/>
      <c r="H89" s="143"/>
    </row>
    <row r="90" spans="1:8">
      <c r="A90" s="138"/>
      <c r="B90" s="138"/>
      <c r="C90" s="369" t="s">
        <v>81</v>
      </c>
      <c r="D90" s="387">
        <f>+VLOOKUP(D89,Tabla241inc2[],2)</f>
        <v>0</v>
      </c>
      <c r="E90" s="143"/>
      <c r="F90" s="142"/>
      <c r="G90" s="142"/>
      <c r="H90" s="143"/>
    </row>
    <row r="91" spans="1:8">
      <c r="A91" s="138"/>
      <c r="B91" s="138"/>
      <c r="C91" s="370" t="s">
        <v>82</v>
      </c>
      <c r="D91" s="388">
        <f>+VLOOKUP(D89,Tabla241inc2[],3)</f>
        <v>0</v>
      </c>
      <c r="E91" s="143"/>
      <c r="F91" s="142"/>
      <c r="G91" s="142"/>
      <c r="H91" s="143"/>
    </row>
    <row r="92" spans="1:8">
      <c r="A92" s="138"/>
      <c r="B92" s="138"/>
      <c r="C92" s="370" t="s">
        <v>83</v>
      </c>
      <c r="D92" s="388">
        <f>+VLOOKUP(D89,Tabla241inc2[],4)</f>
        <v>0</v>
      </c>
      <c r="E92" s="143"/>
      <c r="F92" s="142"/>
      <c r="G92" s="142"/>
      <c r="H92" s="143"/>
    </row>
    <row r="93" spans="1:8" ht="15.75" thickBot="1">
      <c r="A93" s="138"/>
      <c r="B93" s="138"/>
      <c r="C93" s="371" t="s">
        <v>30</v>
      </c>
      <c r="D93" s="504">
        <f>+(D89-D91)*D90+D92</f>
        <v>0</v>
      </c>
      <c r="E93" s="143"/>
      <c r="F93" s="142"/>
      <c r="G93" s="142"/>
      <c r="H93" s="143"/>
    </row>
    <row r="94" spans="1:8" ht="15.75" thickBot="1">
      <c r="A94" s="138"/>
      <c r="B94" s="157"/>
      <c r="C94" s="372" t="s">
        <v>451</v>
      </c>
      <c r="D94" s="390">
        <f>ROUND(D93*UVT,-3)</f>
        <v>0</v>
      </c>
      <c r="E94" s="554"/>
      <c r="F94" s="142"/>
      <c r="G94" s="142"/>
      <c r="H94" s="143"/>
    </row>
    <row r="95" spans="1:8" s="130" customFormat="1">
      <c r="A95" s="142"/>
      <c r="B95" s="142"/>
      <c r="C95" s="142"/>
    </row>
  </sheetData>
  <sheetProtection algorithmName="SHA-512" hashValue="mz22C0LRIquE3OKzVC9VHDI/UaEQCzjszI/R+Ac+zsr/3Gz4F796VpyLjocDZLF7TnlRBg0oQ7cwPvpLPu+7yw==" saltValue="6xyOHWc0F4ZuN5vvo24/Kw==" spinCount="100000" sheet="1" objects="1" scenarios="1"/>
  <mergeCells count="17">
    <mergeCell ref="B9:E9"/>
    <mergeCell ref="B81:C81"/>
    <mergeCell ref="B57:C57"/>
    <mergeCell ref="B64:C64"/>
    <mergeCell ref="B66:C66"/>
    <mergeCell ref="B68:C68"/>
    <mergeCell ref="B70:C70"/>
    <mergeCell ref="B36:C36"/>
    <mergeCell ref="B38:C38"/>
    <mergeCell ref="B40:C40"/>
    <mergeCell ref="B72:C72"/>
    <mergeCell ref="C78:C79"/>
    <mergeCell ref="B82:C82"/>
    <mergeCell ref="B34:C34"/>
    <mergeCell ref="B84:C84"/>
    <mergeCell ref="B85:C85"/>
    <mergeCell ref="B83:C83"/>
  </mergeCells>
  <pageMargins left="0.7" right="0.7" top="0.75" bottom="0.75" header="0.3" footer="0.3"/>
  <pageSetup scale="4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0"/>
  <sheetViews>
    <sheetView showGridLines="0" topLeftCell="A16" workbookViewId="0">
      <selection activeCell="D31" sqref="D31"/>
    </sheetView>
  </sheetViews>
  <sheetFormatPr baseColWidth="10" defaultColWidth="0" defaultRowHeight="12.75" zeroHeight="1"/>
  <cols>
    <col min="1" max="1" width="3.28515625" style="586" customWidth="1"/>
    <col min="2" max="2" width="11.42578125" style="586" customWidth="1"/>
    <col min="3" max="3" width="56.140625" style="586" customWidth="1"/>
    <col min="4" max="4" width="15.7109375" style="586" customWidth="1"/>
    <col min="5" max="5" width="17.42578125" style="586" customWidth="1"/>
    <col min="6" max="6" width="17.140625" style="586" customWidth="1"/>
    <col min="7" max="11" width="11.42578125" style="586" customWidth="1"/>
    <col min="12" max="16384" width="11.42578125" style="586" hidden="1"/>
  </cols>
  <sheetData>
    <row r="1" spans="2:2"/>
    <row r="2" spans="2:2"/>
    <row r="3" spans="2:2"/>
    <row r="4" spans="2:2"/>
    <row r="5" spans="2:2"/>
    <row r="6" spans="2:2"/>
    <row r="7" spans="2:2"/>
    <row r="8" spans="2:2"/>
    <row r="9" spans="2:2"/>
    <row r="10" spans="2:2"/>
    <row r="11" spans="2:2"/>
    <row r="12" spans="2:2"/>
    <row r="13" spans="2:2">
      <c r="B13" s="590" t="s">
        <v>557</v>
      </c>
    </row>
    <row r="14" spans="2:2"/>
    <row r="15" spans="2:2">
      <c r="B15" s="590" t="s">
        <v>556</v>
      </c>
    </row>
    <row r="16" spans="2:2" ht="13.5" thickBot="1"/>
    <row r="17" spans="2:7" ht="15" customHeight="1">
      <c r="B17" s="720" t="s">
        <v>555</v>
      </c>
      <c r="C17" s="721"/>
      <c r="D17" s="726" t="s">
        <v>554</v>
      </c>
      <c r="E17" s="727"/>
      <c r="F17" s="660" t="s">
        <v>553</v>
      </c>
    </row>
    <row r="18" spans="2:7" ht="15" customHeight="1">
      <c r="B18" s="722"/>
      <c r="C18" s="723"/>
      <c r="D18" s="728"/>
      <c r="E18" s="729"/>
      <c r="F18" s="661" t="s">
        <v>552</v>
      </c>
      <c r="G18" s="659"/>
    </row>
    <row r="19" spans="2:7" ht="15.75" customHeight="1" thickBot="1">
      <c r="B19" s="722"/>
      <c r="C19" s="723"/>
      <c r="D19" s="730"/>
      <c r="E19" s="731"/>
      <c r="F19" s="661"/>
    </row>
    <row r="20" spans="2:7" ht="15.75" customHeight="1" thickBot="1">
      <c r="B20" s="724"/>
      <c r="C20" s="725"/>
      <c r="D20" s="608" t="s">
        <v>551</v>
      </c>
      <c r="E20" s="607" t="s">
        <v>550</v>
      </c>
      <c r="F20" s="662" t="s">
        <v>549</v>
      </c>
    </row>
    <row r="21" spans="2:7" s="590" customFormat="1">
      <c r="B21" s="663" t="s">
        <v>548</v>
      </c>
      <c r="C21" s="606"/>
      <c r="D21" s="605"/>
      <c r="E21" s="594">
        <f>+'Renta Presuntiva'!D46</f>
        <v>0</v>
      </c>
      <c r="F21" s="664" t="s">
        <v>523</v>
      </c>
    </row>
    <row r="22" spans="2:7">
      <c r="B22" s="665"/>
      <c r="C22" s="599"/>
      <c r="D22" s="598"/>
      <c r="E22" s="597"/>
      <c r="F22" s="666"/>
    </row>
    <row r="23" spans="2:7">
      <c r="B23" s="665" t="s">
        <v>547</v>
      </c>
      <c r="C23" s="599"/>
      <c r="D23" s="598"/>
      <c r="E23" s="597"/>
      <c r="F23" s="666"/>
    </row>
    <row r="24" spans="2:7">
      <c r="B24" s="665" t="s">
        <v>546</v>
      </c>
      <c r="C24" s="599"/>
      <c r="D24" s="598"/>
      <c r="E24" s="597"/>
      <c r="F24" s="667"/>
    </row>
    <row r="25" spans="2:7">
      <c r="B25" s="665"/>
      <c r="C25" s="599"/>
      <c r="D25" s="598"/>
      <c r="E25" s="597"/>
      <c r="F25" s="666"/>
    </row>
    <row r="26" spans="2:7">
      <c r="B26" s="665" t="s">
        <v>545</v>
      </c>
      <c r="C26" s="599"/>
      <c r="D26" s="598"/>
      <c r="E26" s="682">
        <v>0</v>
      </c>
      <c r="F26" s="668"/>
    </row>
    <row r="27" spans="2:7">
      <c r="B27" s="665"/>
      <c r="C27" s="599"/>
      <c r="D27" s="598"/>
      <c r="E27" s="597"/>
      <c r="F27" s="668"/>
    </row>
    <row r="28" spans="2:7">
      <c r="B28" s="665" t="s">
        <v>544</v>
      </c>
      <c r="C28" s="599"/>
      <c r="D28" s="598"/>
      <c r="E28" s="682">
        <v>0</v>
      </c>
      <c r="F28" s="668"/>
    </row>
    <row r="29" spans="2:7">
      <c r="B29" s="665"/>
      <c r="C29" s="599"/>
      <c r="D29" s="598"/>
      <c r="E29" s="597"/>
      <c r="F29" s="668"/>
    </row>
    <row r="30" spans="2:7">
      <c r="B30" s="665" t="s">
        <v>543</v>
      </c>
      <c r="C30" s="599"/>
      <c r="D30" s="598"/>
      <c r="E30" s="682">
        <v>0</v>
      </c>
      <c r="F30" s="668"/>
    </row>
    <row r="31" spans="2:7">
      <c r="B31" s="665"/>
      <c r="C31" s="599"/>
      <c r="D31" s="598"/>
      <c r="E31" s="597"/>
      <c r="F31" s="668"/>
    </row>
    <row r="32" spans="2:7">
      <c r="B32" s="665"/>
      <c r="C32" s="599"/>
      <c r="D32" s="598"/>
      <c r="E32" s="597"/>
      <c r="F32" s="668"/>
    </row>
    <row r="33" spans="2:6">
      <c r="B33" s="665" t="s">
        <v>542</v>
      </c>
      <c r="C33" s="599"/>
      <c r="D33" s="604"/>
      <c r="E33" s="597">
        <f>ROUND(SUM(D34:D49),-3)</f>
        <v>0</v>
      </c>
      <c r="F33" s="668"/>
    </row>
    <row r="34" spans="2:6">
      <c r="B34" s="665" t="s">
        <v>541</v>
      </c>
      <c r="C34" s="599"/>
      <c r="D34" s="603">
        <f>+'Rentas de Trabajo y Pensiones'!E23</f>
        <v>0</v>
      </c>
      <c r="E34" s="597"/>
      <c r="F34" s="668"/>
    </row>
    <row r="35" spans="2:6">
      <c r="B35" s="665" t="s">
        <v>540</v>
      </c>
      <c r="C35" s="599"/>
      <c r="D35" s="603">
        <f>+'Rentas de Trabajo y Pensiones'!E63</f>
        <v>0</v>
      </c>
      <c r="E35" s="597"/>
      <c r="F35" s="668"/>
    </row>
    <row r="36" spans="2:6">
      <c r="B36" s="665" t="s">
        <v>539</v>
      </c>
      <c r="C36" s="599"/>
      <c r="D36" s="603">
        <f>+'Rentas de capital y No Laborale'!E16</f>
        <v>0</v>
      </c>
      <c r="E36" s="597"/>
      <c r="F36" s="668"/>
    </row>
    <row r="37" spans="2:6">
      <c r="B37" s="665" t="s">
        <v>513</v>
      </c>
      <c r="C37" s="599"/>
      <c r="D37" s="603">
        <f>+'Rentas de capital y No Laborale'!E52</f>
        <v>0</v>
      </c>
      <c r="E37" s="597"/>
      <c r="F37" s="668"/>
    </row>
    <row r="38" spans="2:6">
      <c r="B38" s="665" t="s">
        <v>538</v>
      </c>
      <c r="C38" s="599"/>
      <c r="D38" s="603">
        <f>+'Dividendos y Participaciones'!E17+'Dividendos y Participaciones'!E14</f>
        <v>0</v>
      </c>
      <c r="E38" s="597"/>
      <c r="F38" s="668"/>
    </row>
    <row r="39" spans="2:6">
      <c r="B39" s="665" t="s">
        <v>537</v>
      </c>
      <c r="C39" s="599"/>
      <c r="D39" s="603">
        <f>+'Imp. Ganancia Ocasional'!E21-'Imp. Ganancia Ocasional'!E24</f>
        <v>0</v>
      </c>
      <c r="E39" s="597"/>
      <c r="F39" s="668"/>
    </row>
    <row r="40" spans="2:6">
      <c r="B40" s="665"/>
      <c r="C40" s="599"/>
      <c r="D40" s="603"/>
      <c r="E40" s="597"/>
      <c r="F40" s="668"/>
    </row>
    <row r="41" spans="2:6">
      <c r="B41" s="665" t="s">
        <v>536</v>
      </c>
      <c r="C41" s="599"/>
      <c r="D41" s="603">
        <f>-'Rentas de Trabajo y Pensiones'!D38</f>
        <v>0</v>
      </c>
      <c r="E41" s="597"/>
      <c r="F41" s="668"/>
    </row>
    <row r="42" spans="2:6">
      <c r="B42" s="665" t="s">
        <v>535</v>
      </c>
      <c r="C42" s="599"/>
      <c r="D42" s="603">
        <f>-'Rentas de capital y No Laborale'!D20-'Rentas de capital y No Laborale'!D21-'Rentas de capital y No Laborale'!D22</f>
        <v>0</v>
      </c>
      <c r="E42" s="597"/>
      <c r="F42" s="668"/>
    </row>
    <row r="43" spans="2:6">
      <c r="B43" s="665" t="s">
        <v>534</v>
      </c>
      <c r="C43" s="599"/>
      <c r="D43" s="603">
        <f>-'Rentas de capital y No Laborale'!D27</f>
        <v>0</v>
      </c>
      <c r="E43" s="597"/>
      <c r="F43" s="668"/>
    </row>
    <row r="44" spans="2:6">
      <c r="B44" s="665" t="s">
        <v>533</v>
      </c>
      <c r="C44" s="599"/>
      <c r="D44" s="603">
        <f>-'Rentas de capital y No Laborale'!D57-'Rentas de capital y No Laborale'!D59-'Rentas de capital y No Laborale'!D60</f>
        <v>0</v>
      </c>
      <c r="E44" s="597"/>
      <c r="F44" s="668"/>
    </row>
    <row r="45" spans="2:6">
      <c r="B45" s="665" t="s">
        <v>532</v>
      </c>
      <c r="C45" s="599"/>
      <c r="D45" s="603">
        <f>-'Rentas de capital y No Laborale'!E66</f>
        <v>0</v>
      </c>
      <c r="E45" s="597"/>
      <c r="F45" s="668"/>
    </row>
    <row r="46" spans="2:6">
      <c r="B46" s="665"/>
      <c r="C46" s="599"/>
      <c r="D46" s="603"/>
      <c r="E46" s="597"/>
      <c r="F46" s="668"/>
    </row>
    <row r="47" spans="2:6">
      <c r="B47" s="665" t="s">
        <v>531</v>
      </c>
      <c r="C47" s="599"/>
      <c r="D47" s="681">
        <v>0</v>
      </c>
      <c r="E47" s="597"/>
      <c r="F47" s="668"/>
    </row>
    <row r="48" spans="2:6">
      <c r="B48" s="665"/>
      <c r="C48" s="599"/>
      <c r="D48" s="603"/>
      <c r="E48" s="597"/>
      <c r="F48" s="668"/>
    </row>
    <row r="49" spans="2:7" ht="13.5" thickBot="1">
      <c r="B49" s="665" t="s">
        <v>530</v>
      </c>
      <c r="C49" s="599"/>
      <c r="D49" s="680">
        <v>0</v>
      </c>
      <c r="E49" s="589"/>
      <c r="F49" s="669" t="s">
        <v>529</v>
      </c>
    </row>
    <row r="50" spans="2:7">
      <c r="B50" s="665"/>
      <c r="C50" s="599"/>
      <c r="D50" s="602"/>
      <c r="E50" s="601"/>
      <c r="F50" s="668"/>
      <c r="G50" s="600"/>
    </row>
    <row r="51" spans="2:7">
      <c r="B51" s="665"/>
      <c r="C51" s="599"/>
      <c r="D51" s="598"/>
      <c r="E51" s="597"/>
      <c r="F51" s="668"/>
    </row>
    <row r="52" spans="2:7" s="590" customFormat="1">
      <c r="B52" s="670" t="s">
        <v>528</v>
      </c>
      <c r="C52" s="596"/>
      <c r="D52" s="595"/>
      <c r="E52" s="594">
        <f>SUM(E21:E49)</f>
        <v>0</v>
      </c>
      <c r="F52" s="671"/>
    </row>
    <row r="53" spans="2:7" s="590" customFormat="1">
      <c r="B53" s="672"/>
      <c r="C53" s="593"/>
      <c r="D53" s="592"/>
      <c r="E53" s="594"/>
      <c r="F53" s="673"/>
    </row>
    <row r="54" spans="2:7" s="590" customFormat="1">
      <c r="B54" s="672" t="s">
        <v>527</v>
      </c>
      <c r="C54" s="593"/>
      <c r="D54" s="592"/>
      <c r="E54" s="594">
        <f>+'Renta Presuntiva'!E46</f>
        <v>0</v>
      </c>
      <c r="F54" s="671"/>
    </row>
    <row r="55" spans="2:7" s="590" customFormat="1">
      <c r="B55" s="672"/>
      <c r="C55" s="593"/>
      <c r="D55" s="592"/>
      <c r="E55" s="591"/>
      <c r="F55" s="673"/>
    </row>
    <row r="56" spans="2:7" ht="13.5" thickBot="1">
      <c r="B56" s="674" t="s">
        <v>526</v>
      </c>
      <c r="C56" s="675"/>
      <c r="D56" s="676"/>
      <c r="E56" s="677">
        <f>IF(E54&gt;E52,E54-E52,0)</f>
        <v>0</v>
      </c>
      <c r="F56" s="678" t="s">
        <v>525</v>
      </c>
    </row>
    <row r="57" spans="2:7"/>
    <row r="58" spans="2:7"/>
    <row r="59" spans="2:7">
      <c r="E59" s="587"/>
      <c r="F59" s="587"/>
    </row>
    <row r="60" spans="2:7">
      <c r="B60" s="586" t="s">
        <v>524</v>
      </c>
      <c r="E60" s="587"/>
      <c r="F60" s="587"/>
    </row>
    <row r="61" spans="2:7">
      <c r="B61" s="679" t="s">
        <v>523</v>
      </c>
      <c r="C61" s="586" t="s">
        <v>522</v>
      </c>
      <c r="E61" s="587"/>
      <c r="F61" s="587"/>
    </row>
    <row r="62" spans="2:7">
      <c r="E62" s="587"/>
      <c r="F62" s="587"/>
    </row>
    <row r="63" spans="2:7">
      <c r="B63" s="588" t="s">
        <v>521</v>
      </c>
      <c r="C63" s="586" t="s">
        <v>520</v>
      </c>
      <c r="E63" s="587"/>
      <c r="F63" s="587"/>
    </row>
    <row r="64" spans="2:7">
      <c r="C64" s="586" t="s">
        <v>519</v>
      </c>
      <c r="E64" s="587"/>
      <c r="F64" s="587"/>
    </row>
    <row r="65" spans="2:6">
      <c r="E65" s="587"/>
      <c r="F65" s="587"/>
    </row>
    <row r="66" spans="2:6">
      <c r="B66" s="588" t="s">
        <v>518</v>
      </c>
      <c r="C66" s="586" t="s">
        <v>517</v>
      </c>
      <c r="E66" s="587"/>
      <c r="F66" s="587"/>
    </row>
    <row r="67" spans="2:6">
      <c r="C67" s="586" t="s">
        <v>516</v>
      </c>
      <c r="E67" s="587"/>
      <c r="F67" s="587"/>
    </row>
    <row r="68" spans="2:6">
      <c r="E68" s="587"/>
      <c r="F68" s="587"/>
    </row>
    <row r="69" spans="2:6" ht="13.5" hidden="1" customHeight="1">
      <c r="E69" s="587"/>
      <c r="F69" s="587"/>
    </row>
    <row r="70" spans="2:6" hidden="1">
      <c r="E70" s="587"/>
      <c r="F70" s="587"/>
    </row>
  </sheetData>
  <sheetProtection algorithmName="SHA-512" hashValue="Xv34/xeY5iEtHPhQpz/9v+PaVEtVCV9wVVYfAMl33E3MQWxjg0WcoH5SO2pEDTo69JF8Yyn57IppI0BS4YPkUA==" saltValue="M5lQEZY/qkJmXwE/P3uT9A==" spinCount="100000" sheet="1" objects="1" scenarios="1"/>
  <mergeCells count="2">
    <mergeCell ref="B17:C20"/>
    <mergeCell ref="D17:E19"/>
  </mergeCells>
  <printOptions horizontalCentered="1" verticalCentered="1"/>
  <pageMargins left="0.78740157480314965" right="0.78740157480314965" top="0.98425196850393704" bottom="0.98425196850393704" header="0" footer="0"/>
  <pageSetup scale="69" orientation="portrait" blackAndWhite="1" horizontalDpi="429496729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opLeftCell="A72" zoomScale="110" zoomScaleNormal="110" zoomScalePageLayoutView="200" workbookViewId="0">
      <selection activeCell="D68" sqref="D68"/>
    </sheetView>
  </sheetViews>
  <sheetFormatPr baseColWidth="10" defaultColWidth="0" defaultRowHeight="15" zeroHeight="1"/>
  <cols>
    <col min="1" max="1" width="3.85546875" style="144" customWidth="1"/>
    <col min="2" max="2" width="82.85546875" style="191" customWidth="1"/>
    <col min="3" max="3" width="30.85546875" style="192" customWidth="1"/>
    <col min="4" max="4" width="16.28515625" style="193" bestFit="1" customWidth="1"/>
    <col min="5" max="5" width="17.28515625" style="193" bestFit="1" customWidth="1"/>
    <col min="6" max="6" width="11.42578125" style="144" customWidth="1"/>
    <col min="7" max="7" width="14" style="144" hidden="1" customWidth="1"/>
    <col min="8" max="16384" width="11.42578125" style="144" hidden="1"/>
  </cols>
  <sheetData>
    <row r="1" spans="2:7">
      <c r="B1" s="144"/>
      <c r="C1" s="189"/>
      <c r="D1" s="190"/>
      <c r="E1" s="190"/>
      <c r="G1" s="144" t="s">
        <v>436</v>
      </c>
    </row>
    <row r="2" spans="2:7">
      <c r="B2" s="144"/>
      <c r="C2" s="189"/>
      <c r="D2" s="190"/>
      <c r="E2" s="190"/>
    </row>
    <row r="3" spans="2:7">
      <c r="B3" s="144"/>
      <c r="C3" s="189"/>
      <c r="D3" s="190"/>
      <c r="E3" s="190"/>
    </row>
    <row r="4" spans="2:7">
      <c r="B4" s="144"/>
      <c r="C4" s="189"/>
      <c r="D4" s="190"/>
      <c r="E4" s="190"/>
    </row>
    <row r="5" spans="2:7">
      <c r="B5" s="144"/>
      <c r="C5" s="189"/>
      <c r="D5" s="190"/>
      <c r="E5" s="190"/>
    </row>
    <row r="6" spans="2:7">
      <c r="B6" s="144"/>
      <c r="C6" s="189"/>
      <c r="D6" s="190"/>
      <c r="E6" s="190"/>
    </row>
    <row r="7" spans="2:7" ht="14.25" customHeight="1">
      <c r="B7" s="144"/>
      <c r="C7" s="189"/>
      <c r="D7" s="190"/>
      <c r="E7" s="190"/>
    </row>
    <row r="8" spans="2:7" ht="15.75" thickBot="1">
      <c r="B8" s="144"/>
      <c r="C8" s="189"/>
      <c r="D8" s="190"/>
      <c r="E8" s="190"/>
    </row>
    <row r="9" spans="2:7" ht="15.75" thickBot="1">
      <c r="B9" s="734" t="s">
        <v>0</v>
      </c>
      <c r="C9" s="735"/>
      <c r="D9" s="735"/>
      <c r="E9" s="736"/>
    </row>
    <row r="10" spans="2:7" ht="3.75" customHeight="1" thickBot="1"/>
    <row r="11" spans="2:7">
      <c r="B11" s="194" t="s">
        <v>1</v>
      </c>
      <c r="C11" s="195" t="s">
        <v>6</v>
      </c>
      <c r="D11" s="196" t="s">
        <v>7</v>
      </c>
      <c r="E11" s="197"/>
    </row>
    <row r="12" spans="2:7">
      <c r="B12" s="198" t="s">
        <v>259</v>
      </c>
      <c r="C12" s="750" t="s">
        <v>208</v>
      </c>
      <c r="D12" s="751"/>
      <c r="E12" s="199">
        <f>+VLOOKUP(C12,Art206N7[],2,FALSE)</f>
        <v>1</v>
      </c>
    </row>
    <row r="13" spans="2:7">
      <c r="B13" s="200" t="s">
        <v>268</v>
      </c>
      <c r="C13" s="201" t="s">
        <v>302</v>
      </c>
      <c r="D13" s="87">
        <v>0</v>
      </c>
      <c r="E13" s="289">
        <f>ROUND(D13,-3)</f>
        <v>0</v>
      </c>
    </row>
    <row r="14" spans="2:7">
      <c r="B14" s="200" t="s">
        <v>267</v>
      </c>
      <c r="C14" s="201" t="s">
        <v>302</v>
      </c>
      <c r="D14" s="87">
        <v>0</v>
      </c>
      <c r="E14" s="289">
        <f t="shared" ref="E14:E27" si="0">ROUND(D14,-3)</f>
        <v>0</v>
      </c>
    </row>
    <row r="15" spans="2:7">
      <c r="B15" s="200" t="s">
        <v>2</v>
      </c>
      <c r="C15" s="201" t="s">
        <v>302</v>
      </c>
      <c r="D15" s="87">
        <v>0</v>
      </c>
      <c r="E15" s="289">
        <f t="shared" si="0"/>
        <v>0</v>
      </c>
    </row>
    <row r="16" spans="2:7">
      <c r="B16" s="200" t="s">
        <v>3</v>
      </c>
      <c r="C16" s="201" t="s">
        <v>8</v>
      </c>
      <c r="D16" s="87">
        <v>0</v>
      </c>
      <c r="E16" s="289">
        <f t="shared" si="0"/>
        <v>0</v>
      </c>
    </row>
    <row r="17" spans="2:5">
      <c r="B17" s="609" t="s">
        <v>558</v>
      </c>
      <c r="C17" s="201" t="s">
        <v>302</v>
      </c>
      <c r="D17" s="87">
        <v>0</v>
      </c>
      <c r="E17" s="289">
        <f t="shared" si="0"/>
        <v>0</v>
      </c>
    </row>
    <row r="18" spans="2:5">
      <c r="B18" s="202" t="s">
        <v>413</v>
      </c>
      <c r="C18" s="201" t="s">
        <v>292</v>
      </c>
      <c r="D18" s="88">
        <v>0</v>
      </c>
      <c r="E18" s="289">
        <f t="shared" si="0"/>
        <v>0</v>
      </c>
    </row>
    <row r="19" spans="2:5">
      <c r="B19" s="200" t="s">
        <v>248</v>
      </c>
      <c r="C19" s="201" t="s">
        <v>303</v>
      </c>
      <c r="D19" s="87">
        <v>0</v>
      </c>
      <c r="E19" s="289">
        <f t="shared" si="0"/>
        <v>0</v>
      </c>
    </row>
    <row r="20" spans="2:5">
      <c r="B20" s="200" t="s">
        <v>249</v>
      </c>
      <c r="C20" s="201" t="s">
        <v>304</v>
      </c>
      <c r="D20" s="87">
        <v>0</v>
      </c>
      <c r="E20" s="289">
        <f t="shared" si="0"/>
        <v>0</v>
      </c>
    </row>
    <row r="21" spans="2:5">
      <c r="B21" s="200" t="s">
        <v>250</v>
      </c>
      <c r="C21" s="201" t="s">
        <v>305</v>
      </c>
      <c r="D21" s="87">
        <v>0</v>
      </c>
      <c r="E21" s="289">
        <f t="shared" si="0"/>
        <v>0</v>
      </c>
    </row>
    <row r="22" spans="2:5" ht="30.75" customHeight="1" thickBot="1">
      <c r="B22" s="203" t="s">
        <v>409</v>
      </c>
      <c r="C22" s="204" t="s">
        <v>9</v>
      </c>
      <c r="D22" s="87">
        <v>0</v>
      </c>
      <c r="E22" s="289">
        <f>ROUND(D22,-3)</f>
        <v>0</v>
      </c>
    </row>
    <row r="23" spans="2:5" ht="15.75" thickBot="1">
      <c r="B23" s="205" t="s">
        <v>5</v>
      </c>
      <c r="C23" s="206" t="s">
        <v>306</v>
      </c>
      <c r="D23" s="297"/>
      <c r="E23" s="290">
        <f>SUM(E13:E22)</f>
        <v>0</v>
      </c>
    </row>
    <row r="24" spans="2:5">
      <c r="B24" s="207" t="s">
        <v>10</v>
      </c>
      <c r="C24" s="208" t="s">
        <v>286</v>
      </c>
      <c r="D24" s="89">
        <v>0</v>
      </c>
      <c r="E24" s="616">
        <f t="shared" si="0"/>
        <v>0</v>
      </c>
    </row>
    <row r="25" spans="2:5" ht="30.75" thickBot="1">
      <c r="B25" s="209" t="s">
        <v>251</v>
      </c>
      <c r="C25" s="210" t="s">
        <v>403</v>
      </c>
      <c r="D25" s="90">
        <v>0</v>
      </c>
      <c r="E25" s="293">
        <f t="shared" si="0"/>
        <v>0</v>
      </c>
    </row>
    <row r="26" spans="2:5">
      <c r="B26" s="211" t="s">
        <v>415</v>
      </c>
      <c r="C26" s="204" t="s">
        <v>287</v>
      </c>
      <c r="D26" s="89">
        <v>0</v>
      </c>
      <c r="E26" s="293">
        <f t="shared" si="0"/>
        <v>0</v>
      </c>
    </row>
    <row r="27" spans="2:5" ht="15.75" thickBot="1">
      <c r="B27" s="211" t="s">
        <v>458</v>
      </c>
      <c r="C27" s="204" t="s">
        <v>287</v>
      </c>
      <c r="D27" s="91">
        <v>0</v>
      </c>
      <c r="E27" s="617">
        <f t="shared" si="0"/>
        <v>0</v>
      </c>
    </row>
    <row r="28" spans="2:5" ht="15.75" thickBot="1">
      <c r="B28" s="212" t="s">
        <v>252</v>
      </c>
      <c r="C28" s="213"/>
      <c r="D28" s="297"/>
      <c r="E28" s="291">
        <f>SUM(E24:E27)</f>
        <v>0</v>
      </c>
    </row>
    <row r="29" spans="2:5" ht="15.75" thickBot="1">
      <c r="B29" s="212" t="s">
        <v>11</v>
      </c>
      <c r="C29" s="213" t="s">
        <v>307</v>
      </c>
      <c r="D29" s="297"/>
      <c r="E29" s="292">
        <f>+E23-E28</f>
        <v>0</v>
      </c>
    </row>
    <row r="30" spans="2:5" ht="15" customHeight="1">
      <c r="B30" s="737" t="s">
        <v>274</v>
      </c>
      <c r="C30" s="214" t="s">
        <v>308</v>
      </c>
      <c r="D30" s="740">
        <v>0</v>
      </c>
      <c r="E30" s="743">
        <f>ROUND(IF(D30&lt;1200*UVT,D30,1200*UVT),-3)</f>
        <v>0</v>
      </c>
    </row>
    <row r="31" spans="2:5">
      <c r="B31" s="738"/>
      <c r="C31" s="215" t="s">
        <v>301</v>
      </c>
      <c r="D31" s="741"/>
      <c r="E31" s="744"/>
    </row>
    <row r="32" spans="2:5">
      <c r="B32" s="739"/>
      <c r="C32" s="215" t="s">
        <v>281</v>
      </c>
      <c r="D32" s="742"/>
      <c r="E32" s="745"/>
    </row>
    <row r="33" spans="2:7">
      <c r="B33" s="746" t="s">
        <v>12</v>
      </c>
      <c r="C33" s="732" t="s">
        <v>401</v>
      </c>
      <c r="D33" s="747">
        <v>0</v>
      </c>
      <c r="E33" s="748">
        <f>ROUND(IF(D33&lt;192*UVT,D33,192*UVT),-3)</f>
        <v>0</v>
      </c>
    </row>
    <row r="34" spans="2:7">
      <c r="B34" s="746"/>
      <c r="C34" s="733"/>
      <c r="D34" s="742"/>
      <c r="E34" s="749"/>
    </row>
    <row r="35" spans="2:7" ht="33.75" customHeight="1">
      <c r="B35" s="216" t="s">
        <v>417</v>
      </c>
      <c r="C35" s="217" t="s">
        <v>402</v>
      </c>
      <c r="D35" s="92" t="s">
        <v>515</v>
      </c>
      <c r="E35" s="293">
        <f>ROUND(IF(D35="SI",IF((384*UVT)&lt;(E13*10%),(384*UVT),(E13*10%)),0),-3)</f>
        <v>0</v>
      </c>
    </row>
    <row r="36" spans="2:7" ht="30">
      <c r="B36" s="218" t="s">
        <v>17</v>
      </c>
      <c r="C36" s="219" t="s">
        <v>309</v>
      </c>
      <c r="D36" s="93">
        <v>0</v>
      </c>
      <c r="E36" s="293">
        <f>ROUND(D36*50%,-3)</f>
        <v>0</v>
      </c>
    </row>
    <row r="37" spans="2:7" ht="30.75" thickBot="1">
      <c r="B37" s="220" t="s">
        <v>18</v>
      </c>
      <c r="C37" s="219" t="s">
        <v>298</v>
      </c>
      <c r="D37" s="94">
        <v>0</v>
      </c>
      <c r="E37" s="479">
        <f>ROUND(IF(D37&lt;2500*UVT,IF(D37&gt;(D15+D18)/12,(D15+D18)/12,D37),2500*UVT),-3)</f>
        <v>0</v>
      </c>
    </row>
    <row r="38" spans="2:7" ht="15.75" thickBot="1">
      <c r="B38" s="212" t="s">
        <v>437</v>
      </c>
      <c r="C38" s="213"/>
      <c r="D38" s="291">
        <f>SUM(D30:D34)+D36+D37+E35</f>
        <v>0</v>
      </c>
      <c r="E38" s="291">
        <f>SUM(E30:E37)</f>
        <v>0</v>
      </c>
    </row>
    <row r="39" spans="2:7" ht="29.25" thickBot="1">
      <c r="B39" s="221" t="s">
        <v>19</v>
      </c>
      <c r="C39" s="222" t="s">
        <v>310</v>
      </c>
      <c r="D39" s="95">
        <v>0</v>
      </c>
      <c r="E39" s="617">
        <f>ROUND(D39,-3)</f>
        <v>0</v>
      </c>
    </row>
    <row r="40" spans="2:7" ht="15" customHeight="1" thickBot="1">
      <c r="B40" s="467" t="s">
        <v>21</v>
      </c>
      <c r="C40" s="468"/>
      <c r="D40" s="469">
        <f>D43+D42</f>
        <v>0</v>
      </c>
      <c r="E40" s="470">
        <f>ROUND(VLOOKUP(D41/UVT,Art206N4[],2)*D40,-3)</f>
        <v>0</v>
      </c>
    </row>
    <row r="41" spans="2:7" ht="15" customHeight="1">
      <c r="B41" s="224" t="s">
        <v>13</v>
      </c>
      <c r="C41" s="225" t="s">
        <v>311</v>
      </c>
      <c r="D41" s="522">
        <v>0</v>
      </c>
      <c r="E41" s="294"/>
    </row>
    <row r="42" spans="2:7" ht="15" customHeight="1">
      <c r="B42" s="226" t="s">
        <v>24</v>
      </c>
      <c r="C42" s="227" t="s">
        <v>311</v>
      </c>
      <c r="D42" s="296">
        <f>D19</f>
        <v>0</v>
      </c>
      <c r="E42" s="295"/>
    </row>
    <row r="43" spans="2:7" ht="15" customHeight="1">
      <c r="B43" s="226" t="s">
        <v>25</v>
      </c>
      <c r="C43" s="219" t="s">
        <v>312</v>
      </c>
      <c r="D43" s="296">
        <f>D20</f>
        <v>0</v>
      </c>
      <c r="E43" s="295"/>
    </row>
    <row r="44" spans="2:7" ht="59.25">
      <c r="B44" s="228" t="s">
        <v>331</v>
      </c>
      <c r="C44" s="227" t="s">
        <v>313</v>
      </c>
      <c r="D44" s="92">
        <v>0</v>
      </c>
      <c r="E44" s="289">
        <f>+ROUND(VLOOKUP(C12,Art206N7[],3,FALSE)*D44,-3)</f>
        <v>0</v>
      </c>
    </row>
    <row r="45" spans="2:7" ht="29.25" thickBot="1">
      <c r="B45" s="229" t="s">
        <v>332</v>
      </c>
      <c r="C45" s="227" t="s">
        <v>314</v>
      </c>
      <c r="D45" s="96">
        <v>0</v>
      </c>
      <c r="E45" s="293">
        <f>ROUND(IF(OR(E12=7,E12=8,E12=9,E12=10),D13-D45,0),-3)</f>
        <v>0</v>
      </c>
    </row>
    <row r="46" spans="2:7" ht="33.75" customHeight="1" thickBot="1">
      <c r="B46" s="471" t="s">
        <v>407</v>
      </c>
      <c r="C46" s="472"/>
      <c r="D46" s="473">
        <f>ROUND(SUM(D47:D48),-3)</f>
        <v>0</v>
      </c>
      <c r="E46" s="470">
        <f>(+IF(SUM(E13:E18)*30%&lt;(3800*UVT),IF(SUM(E13:E18)*30%&lt;D46,SUM(E13:E18)*30%-(E24+E25),D46),(3800*UVT)))</f>
        <v>0</v>
      </c>
    </row>
    <row r="47" spans="2:7" ht="28.5">
      <c r="B47" s="230" t="s">
        <v>14</v>
      </c>
      <c r="C47" s="227" t="s">
        <v>315</v>
      </c>
      <c r="D47" s="188">
        <v>0</v>
      </c>
      <c r="E47" s="276"/>
      <c r="G47" s="391"/>
    </row>
    <row r="48" spans="2:7" ht="15" customHeight="1" thickBot="1">
      <c r="B48" s="231" t="s">
        <v>15</v>
      </c>
      <c r="C48" s="232" t="s">
        <v>316</v>
      </c>
      <c r="D48" s="96">
        <v>0</v>
      </c>
      <c r="E48" s="277"/>
      <c r="G48" s="402"/>
    </row>
    <row r="49" spans="2:7" ht="15" customHeight="1" thickBot="1">
      <c r="B49" s="474" t="s">
        <v>22</v>
      </c>
      <c r="C49" s="475"/>
      <c r="D49" s="473">
        <f>+D51</f>
        <v>0</v>
      </c>
      <c r="E49" s="470">
        <f>E51</f>
        <v>0</v>
      </c>
    </row>
    <row r="50" spans="2:7" ht="28.5">
      <c r="B50" s="233" t="s">
        <v>416</v>
      </c>
      <c r="C50" s="234"/>
      <c r="D50" s="285">
        <f>ROUND((D13+D14+D15+D18)-(D24+D25+D26+D27)-(E30+E33+E35+E36+E37)-(E39+E44+E45+E46),-3)</f>
        <v>0</v>
      </c>
      <c r="E50" s="278"/>
      <c r="F50" s="402"/>
    </row>
    <row r="51" spans="2:7" ht="29.25" thickBot="1">
      <c r="B51" s="235" t="s">
        <v>16</v>
      </c>
      <c r="C51" s="236" t="s">
        <v>317</v>
      </c>
      <c r="D51" s="286">
        <f>ROUND(D50*25%,-3)</f>
        <v>0</v>
      </c>
      <c r="E51" s="279">
        <f>ROUND(IF(D51&gt;2880*UVT,2880*UVT,D51),-3)</f>
        <v>0</v>
      </c>
    </row>
    <row r="52" spans="2:7" ht="29.25" thickBot="1">
      <c r="B52" s="476" t="s">
        <v>23</v>
      </c>
      <c r="C52" s="477" t="s">
        <v>8</v>
      </c>
      <c r="D52" s="473">
        <f>D16*25%</f>
        <v>0</v>
      </c>
      <c r="E52" s="470">
        <f>ROUND(D52,-3)</f>
        <v>0</v>
      </c>
    </row>
    <row r="53" spans="2:7" ht="15.75" thickBot="1">
      <c r="B53" s="478" t="s">
        <v>438</v>
      </c>
      <c r="C53" s="223"/>
      <c r="D53" s="291">
        <f>+D39+D40+D44+D45+D46+D49+D52</f>
        <v>0</v>
      </c>
      <c r="E53" s="291">
        <f>+E39+E40+E44+E45+E46+E49+E52</f>
        <v>0</v>
      </c>
    </row>
    <row r="54" spans="2:7" ht="15" customHeight="1" thickBot="1">
      <c r="B54" s="237"/>
      <c r="C54" s="238"/>
      <c r="D54" s="287"/>
      <c r="E54" s="280"/>
    </row>
    <row r="55" spans="2:7" ht="15" customHeight="1" thickBot="1">
      <c r="B55" s="528" t="s">
        <v>461</v>
      </c>
      <c r="C55" s="529"/>
      <c r="D55" s="537">
        <v>0</v>
      </c>
      <c r="E55" s="527">
        <f>ROUND(D55,-3)</f>
        <v>0</v>
      </c>
    </row>
    <row r="56" spans="2:7" ht="15" customHeight="1" thickBot="1">
      <c r="B56" s="237"/>
      <c r="C56" s="238"/>
      <c r="D56" s="287"/>
      <c r="E56" s="280"/>
    </row>
    <row r="57" spans="2:7" ht="30.75" thickBot="1">
      <c r="B57" s="239" t="s">
        <v>27</v>
      </c>
      <c r="C57" s="240" t="s">
        <v>307</v>
      </c>
      <c r="D57" s="281">
        <f>+D53+D38</f>
        <v>0</v>
      </c>
      <c r="E57" s="281">
        <f>+E53+E38</f>
        <v>0</v>
      </c>
      <c r="G57" s="167"/>
    </row>
    <row r="58" spans="2:7" ht="30.75" thickBot="1">
      <c r="B58" s="241" t="s">
        <v>26</v>
      </c>
      <c r="C58" s="242" t="s">
        <v>307</v>
      </c>
      <c r="D58" s="288"/>
      <c r="E58" s="282">
        <f>ROUND(IF(AND(E57&lt;E29*40%,E57&lt;5040*UVT),E57,IF(E29*40%&gt;5040*UVT,5040*UVT,E29*40%)),-3)</f>
        <v>0</v>
      </c>
      <c r="G58" s="402"/>
    </row>
    <row r="59" spans="2:7" ht="15.75" thickBot="1">
      <c r="B59" s="144"/>
      <c r="C59" s="243"/>
      <c r="D59" s="190"/>
      <c r="E59" s="190"/>
    </row>
    <row r="60" spans="2:7" ht="15.75" thickBot="1">
      <c r="B60" s="244" t="s">
        <v>20</v>
      </c>
      <c r="C60" s="245" t="s">
        <v>295</v>
      </c>
      <c r="D60" s="262"/>
      <c r="E60" s="263">
        <f>E29-E58</f>
        <v>0</v>
      </c>
    </row>
    <row r="61" spans="2:7" ht="15.75" thickBot="1">
      <c r="B61" s="144"/>
      <c r="C61" s="189"/>
      <c r="D61" s="190"/>
      <c r="E61" s="190"/>
    </row>
    <row r="62" spans="2:7">
      <c r="B62" s="194" t="s">
        <v>32</v>
      </c>
      <c r="C62" s="196"/>
      <c r="D62" s="197" t="s">
        <v>31</v>
      </c>
      <c r="E62" s="283"/>
    </row>
    <row r="63" spans="2:7" ht="45.75" customHeight="1">
      <c r="B63" s="246" t="s">
        <v>33</v>
      </c>
      <c r="C63" s="247" t="s">
        <v>318</v>
      </c>
      <c r="D63" s="97">
        <v>0</v>
      </c>
      <c r="E63" s="284">
        <f>ROUND(D63,-3)</f>
        <v>0</v>
      </c>
    </row>
    <row r="64" spans="2:7" ht="20.25" customHeight="1">
      <c r="B64" s="494" t="s">
        <v>404</v>
      </c>
      <c r="C64" s="247" t="s">
        <v>318</v>
      </c>
      <c r="D64" s="97">
        <v>0</v>
      </c>
      <c r="E64" s="284">
        <f>ROUND(IF(E63&gt;12000*UVT,(E63-(12000*UVT))*0.12,0),-3)</f>
        <v>0</v>
      </c>
      <c r="F64" s="268"/>
    </row>
    <row r="65" spans="2:6" ht="21" customHeight="1" thickBot="1">
      <c r="B65" s="495" t="s">
        <v>405</v>
      </c>
      <c r="C65" s="248" t="s">
        <v>319</v>
      </c>
      <c r="D65" s="260"/>
      <c r="E65" s="261">
        <f>IF(E63&gt;12000*UVT,12000*UVT,E63)</f>
        <v>0</v>
      </c>
    </row>
    <row r="66" spans="2:6" ht="15.75" thickBot="1">
      <c r="B66" s="478" t="s">
        <v>438</v>
      </c>
      <c r="C66" s="223"/>
      <c r="D66" s="291"/>
      <c r="E66" s="291">
        <f>+E65</f>
        <v>0</v>
      </c>
    </row>
    <row r="67" spans="2:6" ht="15.75" thickBot="1">
      <c r="B67" s="496" t="s">
        <v>449</v>
      </c>
      <c r="C67" s="472"/>
      <c r="D67" s="473"/>
      <c r="E67" s="470">
        <f>+E66</f>
        <v>0</v>
      </c>
    </row>
    <row r="68" spans="2:6" ht="20.25" customHeight="1" thickBot="1">
      <c r="B68" s="249"/>
      <c r="C68" s="250"/>
      <c r="D68" s="250"/>
      <c r="E68" s="249"/>
      <c r="F68" s="268"/>
    </row>
    <row r="69" spans="2:6" ht="15.75" thickBot="1">
      <c r="B69" s="244" t="s">
        <v>28</v>
      </c>
      <c r="C69" s="245" t="s">
        <v>34</v>
      </c>
      <c r="D69" s="262"/>
      <c r="E69" s="263">
        <f>E63-E64-E67</f>
        <v>0</v>
      </c>
    </row>
    <row r="70" spans="2:6" ht="15.75" thickBot="1">
      <c r="B70" s="251"/>
      <c r="C70" s="252"/>
      <c r="D70" s="264"/>
      <c r="E70" s="265"/>
    </row>
    <row r="71" spans="2:6" ht="45.75" thickBot="1">
      <c r="B71" s="253" t="s">
        <v>406</v>
      </c>
      <c r="C71" s="254" t="s">
        <v>299</v>
      </c>
      <c r="D71" s="266"/>
      <c r="E71" s="267">
        <f>IF(E69+E60&gt;0,E69+E60,0)</f>
        <v>0</v>
      </c>
    </row>
    <row r="72" spans="2:6">
      <c r="B72" s="255" t="s">
        <v>29</v>
      </c>
      <c r="C72" s="256"/>
      <c r="D72" s="256"/>
      <c r="E72" s="269">
        <f>E71/UVT</f>
        <v>0</v>
      </c>
    </row>
    <row r="73" spans="2:6" ht="15.75">
      <c r="B73" s="257" t="s">
        <v>81</v>
      </c>
      <c r="C73" s="258" t="s">
        <v>320</v>
      </c>
      <c r="D73" s="270"/>
      <c r="E73" s="271">
        <f>+VLOOKUP(E72,Tabla241inc1[],2)</f>
        <v>0</v>
      </c>
    </row>
    <row r="74" spans="2:6" ht="15.75">
      <c r="B74" s="259" t="s">
        <v>82</v>
      </c>
      <c r="C74" s="258" t="s">
        <v>320</v>
      </c>
      <c r="D74" s="272"/>
      <c r="E74" s="273">
        <f>+VLOOKUP(E72,Tabla241inc1[],3)</f>
        <v>0</v>
      </c>
    </row>
    <row r="75" spans="2:6" ht="15.75">
      <c r="B75" s="259" t="s">
        <v>83</v>
      </c>
      <c r="C75" s="258" t="s">
        <v>320</v>
      </c>
      <c r="D75" s="272"/>
      <c r="E75" s="273">
        <f>+VLOOKUP(E72,Tabla241inc1[],4)</f>
        <v>0</v>
      </c>
    </row>
    <row r="76" spans="2:6" ht="16.5" thickBot="1">
      <c r="B76" s="371" t="s">
        <v>30</v>
      </c>
      <c r="C76" s="258" t="s">
        <v>320</v>
      </c>
      <c r="D76" s="272"/>
      <c r="E76" s="273">
        <f>+(E72-E74)*E73+E75</f>
        <v>0</v>
      </c>
    </row>
    <row r="77" spans="2:6" ht="15.75" thickBot="1">
      <c r="B77" s="372" t="s">
        <v>84</v>
      </c>
      <c r="C77" s="299"/>
      <c r="D77" s="275"/>
      <c r="E77" s="390">
        <f>ROUND(E76*UVT,-3)</f>
        <v>0</v>
      </c>
    </row>
    <row r="78" spans="2:6" ht="15.75" hidden="1">
      <c r="B78" s="211" t="s">
        <v>30</v>
      </c>
      <c r="C78" s="258" t="s">
        <v>320</v>
      </c>
      <c r="D78" s="274"/>
      <c r="E78" s="683">
        <f>+(E72-E74)*E73+E76</f>
        <v>0</v>
      </c>
    </row>
    <row r="79" spans="2:6" ht="16.5" hidden="1" thickBot="1">
      <c r="B79" s="298" t="s">
        <v>84</v>
      </c>
      <c r="C79" s="299"/>
      <c r="D79" s="275"/>
      <c r="E79" s="684">
        <f>+ROUND(E78*UVT,-3)</f>
        <v>0</v>
      </c>
    </row>
    <row r="80" spans="2:6" hidden="1">
      <c r="B80" s="144"/>
      <c r="C80" s="189"/>
      <c r="D80" s="190"/>
      <c r="E80" s="190"/>
    </row>
    <row r="81" spans="2:5">
      <c r="B81" s="144"/>
      <c r="C81" s="189"/>
      <c r="D81" s="190"/>
      <c r="E81" s="190"/>
    </row>
    <row r="82" spans="2:5">
      <c r="B82" s="144"/>
      <c r="C82" s="189"/>
      <c r="D82" s="190"/>
      <c r="E82" s="190"/>
    </row>
    <row r="83" spans="2:5">
      <c r="B83" s="144"/>
      <c r="C83" s="189"/>
      <c r="D83" s="190"/>
      <c r="E83" s="190"/>
    </row>
    <row r="84" spans="2:5">
      <c r="B84" s="144"/>
      <c r="C84" s="189"/>
      <c r="D84" s="190"/>
      <c r="E84" s="190"/>
    </row>
  </sheetData>
  <sheetProtection algorithmName="SHA-512" hashValue="0a3Qe1buu0qIbRKPLhUAQnkIU9VfbMdrGVunKTsM5qrEcZBfLzPEY1hvc22jOdXzkq644aYVWPCt89M+nvEE+w==" saltValue="OH1iQxKAKa4baq1E42a9LQ==" spinCount="100000" sheet="1" objects="1" scenarios="1"/>
  <mergeCells count="9">
    <mergeCell ref="C33:C34"/>
    <mergeCell ref="B9:E9"/>
    <mergeCell ref="B30:B32"/>
    <mergeCell ref="D30:D32"/>
    <mergeCell ref="E30:E32"/>
    <mergeCell ref="B33:B34"/>
    <mergeCell ref="D33:D34"/>
    <mergeCell ref="E33:E34"/>
    <mergeCell ref="C12:D12"/>
  </mergeCells>
  <dataValidations count="4">
    <dataValidation type="list" allowBlank="1" showInputMessage="1" showErrorMessage="1" sqref="C12">
      <formula1>CE</formula1>
    </dataValidation>
    <dataValidation allowBlank="1" showInputMessage="1" showErrorMessage="1" errorTitle="ERROR" error="El valor tiene que ser menor a 1.200 UVT" sqref="D30:D32"/>
    <dataValidation type="custom" allowBlank="1" showInputMessage="1" showErrorMessage="1" errorTitle="ERROR" error="La Persona Natural NO Es:_x000a_Magistrado_x000a_Fiscal_x000a_Juez_x000a_Rectores o Profesor de universidad oficial" sqref="D44">
      <formula1>AND(E12&gt;1,E12&lt;7)</formula1>
    </dataValidation>
    <dataValidation type="custom" allowBlank="1" showInputMessage="1" showErrorMessage="1" errorTitle="ERROR" error="La Persona Natural NO Es:_x000a_Oficial o Suboficiales de las fuerzas militares_x000a_Oficial o Sudoficial de la Policía Nacional o agente de esta última" sqref="D45">
      <formula1>AND(E12&gt;7,E12&lt;12)</formula1>
    </dataValidation>
  </dataValidations>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custom" operator="notEqual" allowBlank="1" showInputMessage="1" showErrorMessage="1" errorTitle="ERROR" error="Ya escribio Valor en Renta No Laborales">
          <x14:formula1>
            <xm:f>'Rentas de capital y No Laborale'!D44=0</xm:f>
          </x14:formula1>
          <xm:sqref>D18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topLeftCell="A9" workbookViewId="0">
      <selection activeCell="D69" sqref="D69"/>
    </sheetView>
  </sheetViews>
  <sheetFormatPr baseColWidth="10" defaultColWidth="0" defaultRowHeight="15" zeroHeight="1"/>
  <cols>
    <col min="1" max="1" width="3" style="144" customWidth="1"/>
    <col min="2" max="2" width="68.85546875" style="373" customWidth="1"/>
    <col min="3" max="3" width="48" style="373" customWidth="1"/>
    <col min="4" max="4" width="15" style="373" customWidth="1"/>
    <col min="5" max="5" width="17.42578125" style="373" customWidth="1"/>
    <col min="6" max="6" width="21.85546875" style="373" customWidth="1"/>
    <col min="7" max="7" width="11.42578125" style="144" customWidth="1"/>
    <col min="8" max="11" width="0" style="144" hidden="1" customWidth="1"/>
    <col min="12" max="16384" width="11.42578125" style="144" hidden="1"/>
  </cols>
  <sheetData>
    <row r="1" spans="2:6">
      <c r="B1" s="300"/>
      <c r="C1" s="300"/>
      <c r="D1" s="300"/>
      <c r="E1" s="300"/>
      <c r="F1" s="300"/>
    </row>
    <row r="2" spans="2:6">
      <c r="B2" s="300"/>
      <c r="C2" s="300"/>
      <c r="D2" s="300"/>
      <c r="E2" s="300"/>
      <c r="F2" s="300"/>
    </row>
    <row r="3" spans="2:6">
      <c r="B3" s="300"/>
      <c r="C3" s="300"/>
      <c r="D3" s="300"/>
      <c r="E3" s="300"/>
      <c r="F3" s="300"/>
    </row>
    <row r="4" spans="2:6">
      <c r="B4" s="300"/>
      <c r="C4" s="300"/>
      <c r="D4" s="300"/>
      <c r="E4" s="300"/>
      <c r="F4" s="300"/>
    </row>
    <row r="5" spans="2:6">
      <c r="B5" s="300"/>
      <c r="C5" s="300"/>
      <c r="D5" s="300"/>
      <c r="E5" s="300"/>
      <c r="F5" s="300"/>
    </row>
    <row r="6" spans="2:6">
      <c r="B6" s="300"/>
      <c r="C6" s="300"/>
      <c r="D6" s="300"/>
      <c r="E6" s="300"/>
      <c r="F6" s="300"/>
    </row>
    <row r="7" spans="2:6" ht="28.5" customHeight="1" thickBot="1">
      <c r="B7" s="300"/>
      <c r="C7" s="300"/>
      <c r="D7" s="300"/>
      <c r="E7" s="300"/>
      <c r="F7" s="300"/>
    </row>
    <row r="8" spans="2:6" ht="15.75" thickBot="1">
      <c r="B8" s="761" t="s">
        <v>54</v>
      </c>
      <c r="C8" s="762"/>
      <c r="D8" s="762"/>
      <c r="E8" s="763"/>
      <c r="F8" s="318"/>
    </row>
    <row r="9" spans="2:6" ht="15.75" thickBot="1">
      <c r="B9" s="301"/>
      <c r="C9" s="301"/>
      <c r="D9" s="301"/>
      <c r="E9" s="301"/>
      <c r="F9" s="318"/>
    </row>
    <row r="10" spans="2:6" ht="15" customHeight="1">
      <c r="B10" s="302" t="s">
        <v>43</v>
      </c>
      <c r="C10" s="303"/>
      <c r="D10" s="444" t="s">
        <v>38</v>
      </c>
      <c r="E10" s="319"/>
      <c r="F10" s="144"/>
    </row>
    <row r="11" spans="2:6" ht="15" customHeight="1">
      <c r="B11" s="304" t="s">
        <v>44</v>
      </c>
      <c r="C11" s="305" t="s">
        <v>284</v>
      </c>
      <c r="D11" s="98">
        <v>0</v>
      </c>
      <c r="E11" s="320">
        <f>ROUND(D11,-3)</f>
        <v>0</v>
      </c>
      <c r="F11" s="391"/>
    </row>
    <row r="12" spans="2:6" ht="15" customHeight="1">
      <c r="B12" s="304" t="s">
        <v>410</v>
      </c>
      <c r="C12" s="305" t="s">
        <v>284</v>
      </c>
      <c r="D12" s="98">
        <v>0</v>
      </c>
      <c r="E12" s="320">
        <f>ROUND(D12,-3)</f>
        <v>0</v>
      </c>
      <c r="F12" s="391"/>
    </row>
    <row r="13" spans="2:6">
      <c r="B13" s="306" t="s">
        <v>45</v>
      </c>
      <c r="C13" s="305" t="s">
        <v>284</v>
      </c>
      <c r="D13" s="98">
        <v>0</v>
      </c>
      <c r="E13" s="320">
        <f>ROUND(D13,-3)</f>
        <v>0</v>
      </c>
      <c r="F13" s="144"/>
    </row>
    <row r="14" spans="2:6">
      <c r="B14" s="307" t="s">
        <v>567</v>
      </c>
      <c r="C14" s="308" t="s">
        <v>568</v>
      </c>
      <c r="D14" s="98">
        <v>0</v>
      </c>
      <c r="E14" s="320">
        <f>ROUND(D14,-3)</f>
        <v>0</v>
      </c>
      <c r="F14" s="144"/>
    </row>
    <row r="15" spans="2:6" ht="15.75" thickBot="1">
      <c r="B15" s="307" t="s">
        <v>4</v>
      </c>
      <c r="C15" s="308" t="s">
        <v>285</v>
      </c>
      <c r="D15" s="98">
        <v>0</v>
      </c>
      <c r="E15" s="320">
        <f>ROUND(D15,-3)</f>
        <v>0</v>
      </c>
      <c r="F15" s="144"/>
    </row>
    <row r="16" spans="2:6" ht="15" customHeight="1" thickBot="1">
      <c r="B16" s="309" t="s">
        <v>5</v>
      </c>
      <c r="C16" s="310" t="s">
        <v>284</v>
      </c>
      <c r="D16" s="484"/>
      <c r="E16" s="627">
        <f>SUM(E11:E15)</f>
        <v>0</v>
      </c>
      <c r="F16" s="144"/>
    </row>
    <row r="17" spans="2:6" ht="30" customHeight="1">
      <c r="B17" s="311" t="s">
        <v>48</v>
      </c>
      <c r="C17" s="225" t="s">
        <v>286</v>
      </c>
      <c r="D17" s="98">
        <v>0</v>
      </c>
      <c r="E17" s="320">
        <f t="shared" ref="E17:E22" si="0">ROUND(D17,-3)</f>
        <v>0</v>
      </c>
      <c r="F17" s="144"/>
    </row>
    <row r="18" spans="2:6" ht="30" customHeight="1">
      <c r="B18" s="312" t="s">
        <v>47</v>
      </c>
      <c r="C18" s="219" t="s">
        <v>287</v>
      </c>
      <c r="D18" s="98">
        <v>0</v>
      </c>
      <c r="E18" s="320">
        <f t="shared" si="0"/>
        <v>0</v>
      </c>
      <c r="F18" s="144"/>
    </row>
    <row r="19" spans="2:6" ht="30" customHeight="1">
      <c r="B19" s="312" t="s">
        <v>289</v>
      </c>
      <c r="C19" s="219" t="s">
        <v>288</v>
      </c>
      <c r="D19" s="98">
        <v>0</v>
      </c>
      <c r="E19" s="320">
        <f t="shared" si="0"/>
        <v>0</v>
      </c>
      <c r="F19" s="144"/>
    </row>
    <row r="20" spans="2:6" ht="48" customHeight="1">
      <c r="B20" s="313" t="s">
        <v>49</v>
      </c>
      <c r="C20" s="314" t="s">
        <v>278</v>
      </c>
      <c r="D20" s="98">
        <v>0</v>
      </c>
      <c r="E20" s="320">
        <f t="shared" si="0"/>
        <v>0</v>
      </c>
      <c r="F20" s="144"/>
    </row>
    <row r="21" spans="2:6" ht="60.75" customHeight="1" thickBot="1">
      <c r="B21" s="313" t="s">
        <v>276</v>
      </c>
      <c r="C21" s="314" t="s">
        <v>279</v>
      </c>
      <c r="D21" s="98">
        <v>0</v>
      </c>
      <c r="E21" s="320">
        <f t="shared" si="0"/>
        <v>0</v>
      </c>
      <c r="F21" s="144"/>
    </row>
    <row r="22" spans="2:6" ht="45" customHeight="1" thickBot="1">
      <c r="B22" s="317" t="s">
        <v>441</v>
      </c>
      <c r="C22" s="225" t="s">
        <v>280</v>
      </c>
      <c r="D22" s="98">
        <v>0</v>
      </c>
      <c r="E22" s="320">
        <f t="shared" si="0"/>
        <v>0</v>
      </c>
      <c r="F22" s="144"/>
    </row>
    <row r="23" spans="2:6" ht="15" customHeight="1" thickBot="1">
      <c r="B23" s="315" t="s">
        <v>46</v>
      </c>
      <c r="C23" s="316" t="s">
        <v>50</v>
      </c>
      <c r="D23" s="414"/>
      <c r="E23" s="485">
        <f>E16-SUM(E17:E22)</f>
        <v>0</v>
      </c>
      <c r="F23" s="144"/>
    </row>
    <row r="24" spans="2:6" ht="28.5" customHeight="1" thickBot="1">
      <c r="B24" s="481" t="s">
        <v>439</v>
      </c>
      <c r="C24" s="225" t="s">
        <v>440</v>
      </c>
      <c r="D24" s="98">
        <v>0</v>
      </c>
      <c r="E24" s="321">
        <f>+ROUND(D24*50%,-3)</f>
        <v>0</v>
      </c>
      <c r="F24" s="144"/>
    </row>
    <row r="25" spans="2:6" ht="27" customHeight="1">
      <c r="B25" s="770" t="s">
        <v>408</v>
      </c>
      <c r="C25" s="219" t="s">
        <v>301</v>
      </c>
      <c r="D25" s="764">
        <v>0</v>
      </c>
      <c r="E25" s="766">
        <f>ROUND(+IF(('Rentas de Trabajo y Pensiones'!D30+D25+D63)&gt;1200*UVT,IF(((1200*UVT)-'Rentas de Trabajo y Pensiones'!D30-D63)&gt;0,((1200*UVT)-'Rentas de Trabajo y Pensiones'!D30-D63),0),D25),-3)</f>
        <v>0</v>
      </c>
      <c r="F25" s="755" t="s">
        <v>277</v>
      </c>
    </row>
    <row r="26" spans="2:6" ht="33" customHeight="1" thickBot="1">
      <c r="B26" s="771"/>
      <c r="C26" s="219" t="s">
        <v>282</v>
      </c>
      <c r="D26" s="765"/>
      <c r="E26" s="767"/>
      <c r="F26" s="756"/>
    </row>
    <row r="27" spans="2:6" ht="26.25" customHeight="1" thickBot="1">
      <c r="B27" s="486" t="s">
        <v>437</v>
      </c>
      <c r="C27" s="487"/>
      <c r="D27" s="488">
        <f>SUM(D24:D26)</f>
        <v>0</v>
      </c>
      <c r="E27" s="489">
        <f>SUM(E24:E26)</f>
        <v>0</v>
      </c>
      <c r="F27" s="144"/>
    </row>
    <row r="28" spans="2:6" ht="61.5" customHeight="1" thickBot="1">
      <c r="B28" s="480" t="s">
        <v>411</v>
      </c>
      <c r="C28" s="227" t="s">
        <v>412</v>
      </c>
      <c r="D28" s="482">
        <v>0</v>
      </c>
      <c r="E28" s="483">
        <f>ROUND(IF(D28&lt;1200*UVT,D28,1200*UVT),-3)</f>
        <v>0</v>
      </c>
      <c r="F28" s="327" t="s">
        <v>283</v>
      </c>
    </row>
    <row r="29" spans="2:6" ht="30" customHeight="1">
      <c r="B29" s="322" t="s">
        <v>51</v>
      </c>
      <c r="C29" s="323"/>
      <c r="D29" s="325">
        <f>ROUND(SUM(D30:D31),-3)</f>
        <v>0</v>
      </c>
      <c r="E29" s="326">
        <f>+IF(D29&lt;(E16-E17)*30%,D29,(E16-E17)*30%)</f>
        <v>0</v>
      </c>
      <c r="F29" s="144"/>
    </row>
    <row r="30" spans="2:6" ht="30" customHeight="1">
      <c r="B30" s="312" t="s">
        <v>52</v>
      </c>
      <c r="C30" s="219" t="s">
        <v>290</v>
      </c>
      <c r="D30" s="98">
        <v>0</v>
      </c>
      <c r="E30" s="328"/>
      <c r="F30" s="144"/>
    </row>
    <row r="31" spans="2:6" s="142" customFormat="1" ht="15.75" thickBot="1">
      <c r="B31" s="324" t="s">
        <v>39</v>
      </c>
      <c r="C31" s="222" t="s">
        <v>291</v>
      </c>
      <c r="D31" s="99">
        <v>0</v>
      </c>
      <c r="E31" s="329"/>
    </row>
    <row r="32" spans="2:6" ht="26.25" customHeight="1" thickBot="1">
      <c r="B32" s="486" t="s">
        <v>438</v>
      </c>
      <c r="C32" s="487"/>
      <c r="D32" s="488">
        <f>ROUND(+D28+D29,-3)</f>
        <v>0</v>
      </c>
      <c r="E32" s="489">
        <f>+E28+E29</f>
        <v>0</v>
      </c>
      <c r="F32" s="144"/>
    </row>
    <row r="33" spans="2:11" ht="15.75" thickBot="1">
      <c r="B33" s="330"/>
      <c r="C33" s="331"/>
      <c r="D33" s="410"/>
      <c r="E33" s="401"/>
      <c r="F33" s="402"/>
    </row>
    <row r="34" spans="2:11" ht="15.75" thickBot="1">
      <c r="B34" s="528" t="s">
        <v>463</v>
      </c>
      <c r="C34" s="529"/>
      <c r="D34" s="537">
        <v>0</v>
      </c>
      <c r="E34" s="527">
        <f>ROUND(D34,-3)</f>
        <v>0</v>
      </c>
      <c r="F34" s="402"/>
    </row>
    <row r="35" spans="2:11" ht="15.75" thickBot="1">
      <c r="B35" s="330"/>
      <c r="C35" s="331"/>
      <c r="D35" s="410"/>
      <c r="E35" s="401"/>
      <c r="F35" s="402"/>
    </row>
    <row r="36" spans="2:11" ht="30" customHeight="1" thickBot="1">
      <c r="B36" s="332" t="s">
        <v>53</v>
      </c>
      <c r="C36" s="333" t="s">
        <v>294</v>
      </c>
      <c r="D36" s="374">
        <f>+D32+D27</f>
        <v>0</v>
      </c>
      <c r="E36" s="382">
        <f>+E32+E27</f>
        <v>0</v>
      </c>
      <c r="F36" s="402"/>
    </row>
    <row r="37" spans="2:11" s="142" customFormat="1" ht="45.75" thickBot="1">
      <c r="B37" s="334" t="s">
        <v>41</v>
      </c>
      <c r="C37" s="335" t="s">
        <v>294</v>
      </c>
      <c r="D37" s="335"/>
      <c r="E37" s="383">
        <f>ROUND(IF(AND(E36&lt;E23*10%,E36&lt;1000*UVT),E36,IF(E23*10%&gt;1000*UVT,1000*UVT,E23*10%)),-3)</f>
        <v>0</v>
      </c>
    </row>
    <row r="38" spans="2:11" ht="15.75" thickBot="1">
      <c r="B38" s="330"/>
      <c r="C38" s="336"/>
      <c r="D38" s="409"/>
      <c r="E38" s="403"/>
      <c r="F38" s="144"/>
    </row>
    <row r="39" spans="2:11" ht="15.75" thickBot="1">
      <c r="B39" s="332" t="s">
        <v>35</v>
      </c>
      <c r="C39" s="337" t="s">
        <v>294</v>
      </c>
      <c r="D39" s="411"/>
      <c r="E39" s="404">
        <f>E23-E37</f>
        <v>0</v>
      </c>
      <c r="F39" s="144"/>
    </row>
    <row r="40" spans="2:11" ht="30.75" thickBot="1">
      <c r="B40" s="338" t="s">
        <v>338</v>
      </c>
      <c r="C40" s="339" t="s">
        <v>295</v>
      </c>
      <c r="D40" s="98">
        <v>0</v>
      </c>
      <c r="E40" s="527">
        <f>ROUND(D40,-3)</f>
        <v>0</v>
      </c>
      <c r="F40" s="144"/>
    </row>
    <row r="41" spans="2:11" ht="15.75" thickBot="1">
      <c r="B41" s="340" t="s">
        <v>36</v>
      </c>
      <c r="C41" s="341" t="s">
        <v>295</v>
      </c>
      <c r="D41" s="412"/>
      <c r="E41" s="405">
        <f>E39-E40</f>
        <v>0</v>
      </c>
      <c r="F41" s="300"/>
    </row>
    <row r="42" spans="2:11" ht="15.75" thickBot="1">
      <c r="B42" s="300"/>
      <c r="C42" s="300"/>
      <c r="D42" s="300"/>
      <c r="E42" s="300"/>
      <c r="F42" s="300"/>
    </row>
    <row r="43" spans="2:11" ht="15.75" thickBot="1">
      <c r="B43" s="342" t="s">
        <v>60</v>
      </c>
      <c r="C43" s="342"/>
      <c r="D43" s="556" t="s">
        <v>61</v>
      </c>
      <c r="E43" s="406"/>
    </row>
    <row r="44" spans="2:11" ht="45">
      <c r="B44" s="343" t="s">
        <v>414</v>
      </c>
      <c r="C44" s="344" t="s">
        <v>292</v>
      </c>
      <c r="D44" s="98"/>
      <c r="E44" s="407">
        <f>ROUND(+IF('Rentas de Trabajo y Pensiones'!E18&gt;0,0,D44),-3)</f>
        <v>0</v>
      </c>
      <c r="F44" s="408" t="s">
        <v>55</v>
      </c>
    </row>
    <row r="45" spans="2:11">
      <c r="B45" s="343" t="s">
        <v>565</v>
      </c>
      <c r="C45" s="344" t="s">
        <v>566</v>
      </c>
      <c r="D45" s="98">
        <v>0</v>
      </c>
      <c r="E45" s="398">
        <f t="shared" ref="E45:E51" si="1">ROUND(D45,-3)</f>
        <v>0</v>
      </c>
      <c r="F45" s="626"/>
    </row>
    <row r="46" spans="2:11" ht="30">
      <c r="B46" s="345" t="s">
        <v>64</v>
      </c>
      <c r="C46" s="314" t="s">
        <v>9</v>
      </c>
      <c r="D46" s="98">
        <v>0</v>
      </c>
      <c r="E46" s="398">
        <f t="shared" si="1"/>
        <v>0</v>
      </c>
      <c r="F46" s="300"/>
    </row>
    <row r="47" spans="2:11">
      <c r="B47" s="345" t="s">
        <v>56</v>
      </c>
      <c r="C47" s="314" t="s">
        <v>293</v>
      </c>
      <c r="D47" s="98">
        <v>0</v>
      </c>
      <c r="E47" s="398">
        <f t="shared" si="1"/>
        <v>0</v>
      </c>
      <c r="F47" s="300"/>
    </row>
    <row r="48" spans="2:11">
      <c r="B48" s="345" t="s">
        <v>4</v>
      </c>
      <c r="C48" s="314" t="s">
        <v>285</v>
      </c>
      <c r="D48" s="98">
        <v>0</v>
      </c>
      <c r="E48" s="398">
        <f t="shared" si="1"/>
        <v>0</v>
      </c>
      <c r="F48" s="300"/>
      <c r="J48" s="685"/>
      <c r="K48" s="685"/>
    </row>
    <row r="49" spans="2:11">
      <c r="B49" s="345" t="s">
        <v>455</v>
      </c>
      <c r="C49" s="346"/>
      <c r="D49" s="98">
        <v>0</v>
      </c>
      <c r="E49" s="398">
        <f t="shared" si="1"/>
        <v>0</v>
      </c>
      <c r="F49" s="300"/>
      <c r="K49" s="686"/>
    </row>
    <row r="50" spans="2:11">
      <c r="B50" s="345" t="s">
        <v>65</v>
      </c>
      <c r="C50" s="314" t="s">
        <v>58</v>
      </c>
      <c r="D50" s="98"/>
      <c r="E50" s="398">
        <f t="shared" si="1"/>
        <v>0</v>
      </c>
      <c r="F50" s="300"/>
    </row>
    <row r="51" spans="2:11">
      <c r="B51" s="345" t="s">
        <v>66</v>
      </c>
      <c r="C51" s="314" t="s">
        <v>296</v>
      </c>
      <c r="D51" s="98">
        <v>0</v>
      </c>
      <c r="E51" s="398">
        <f t="shared" si="1"/>
        <v>0</v>
      </c>
      <c r="F51" s="300"/>
    </row>
    <row r="52" spans="2:11" ht="15.75" thickBot="1">
      <c r="B52" s="347" t="s">
        <v>57</v>
      </c>
      <c r="C52" s="348" t="s">
        <v>292</v>
      </c>
      <c r="D52" s="413"/>
      <c r="E52" s="395">
        <f>SUM(E44:E51)</f>
        <v>0</v>
      </c>
      <c r="F52" s="300"/>
    </row>
    <row r="53" spans="2:11" ht="21" customHeight="1">
      <c r="B53" s="313" t="s">
        <v>454</v>
      </c>
      <c r="C53" s="225" t="s">
        <v>286</v>
      </c>
      <c r="D53" s="98"/>
      <c r="E53" s="398">
        <f t="shared" ref="E53:E60" si="2">ROUND(D53,-3)</f>
        <v>0</v>
      </c>
      <c r="F53" s="300"/>
    </row>
    <row r="54" spans="2:11" ht="20.100000000000001" customHeight="1">
      <c r="B54" s="313" t="s">
        <v>453</v>
      </c>
      <c r="C54" s="219" t="s">
        <v>287</v>
      </c>
      <c r="D54" s="98"/>
      <c r="E54" s="398">
        <f t="shared" si="2"/>
        <v>0</v>
      </c>
      <c r="F54" s="300"/>
    </row>
    <row r="55" spans="2:11" ht="30">
      <c r="B55" s="313" t="s">
        <v>63</v>
      </c>
      <c r="C55" s="314" t="s">
        <v>293</v>
      </c>
      <c r="D55" s="98">
        <v>0</v>
      </c>
      <c r="E55" s="398">
        <f t="shared" si="2"/>
        <v>0</v>
      </c>
      <c r="F55" s="300"/>
    </row>
    <row r="56" spans="2:11" ht="48" customHeight="1">
      <c r="B56" s="313" t="s">
        <v>62</v>
      </c>
      <c r="C56" s="314" t="s">
        <v>9</v>
      </c>
      <c r="D56" s="400">
        <f>D46</f>
        <v>0</v>
      </c>
      <c r="E56" s="398">
        <f t="shared" si="2"/>
        <v>0</v>
      </c>
      <c r="F56" s="300"/>
    </row>
    <row r="57" spans="2:11" ht="30" customHeight="1">
      <c r="B57" s="313" t="s">
        <v>49</v>
      </c>
      <c r="C57" s="314" t="s">
        <v>278</v>
      </c>
      <c r="D57" s="98"/>
      <c r="E57" s="398">
        <f t="shared" si="2"/>
        <v>0</v>
      </c>
      <c r="F57" s="300"/>
    </row>
    <row r="58" spans="2:11" ht="19.5" customHeight="1">
      <c r="B58" s="313" t="s">
        <v>59</v>
      </c>
      <c r="C58" s="346"/>
      <c r="D58" s="98">
        <v>0</v>
      </c>
      <c r="E58" s="398">
        <f t="shared" si="2"/>
        <v>0</v>
      </c>
      <c r="F58" s="300"/>
    </row>
    <row r="59" spans="2:11" ht="75.75" thickBot="1">
      <c r="B59" s="313" t="s">
        <v>276</v>
      </c>
      <c r="C59" s="314" t="s">
        <v>279</v>
      </c>
      <c r="D59" s="98"/>
      <c r="E59" s="398">
        <f t="shared" si="2"/>
        <v>0</v>
      </c>
      <c r="F59" s="300"/>
    </row>
    <row r="60" spans="2:11" ht="45.75" thickBot="1">
      <c r="B60" s="317" t="s">
        <v>441</v>
      </c>
      <c r="C60" s="225" t="s">
        <v>280</v>
      </c>
      <c r="D60" s="98">
        <v>0</v>
      </c>
      <c r="E60" s="398">
        <f t="shared" si="2"/>
        <v>0</v>
      </c>
      <c r="F60" s="300"/>
    </row>
    <row r="61" spans="2:11" s="142" customFormat="1" ht="15.75" thickBot="1">
      <c r="B61" s="349" t="s">
        <v>46</v>
      </c>
      <c r="C61" s="350" t="s">
        <v>297</v>
      </c>
      <c r="D61" s="397"/>
      <c r="E61" s="399">
        <f>E52-SUM(E53:E60)</f>
        <v>0</v>
      </c>
      <c r="F61" s="300"/>
    </row>
    <row r="62" spans="2:11" ht="30">
      <c r="B62" s="481" t="s">
        <v>439</v>
      </c>
      <c r="C62" s="225" t="s">
        <v>440</v>
      </c>
      <c r="D62" s="98"/>
      <c r="E62" s="321">
        <f>+ROUND(D62*50%,-3)</f>
        <v>0</v>
      </c>
      <c r="F62" s="300"/>
    </row>
    <row r="63" spans="2:11" ht="33" customHeight="1">
      <c r="B63" s="757" t="s">
        <v>442</v>
      </c>
      <c r="C63" s="219" t="s">
        <v>301</v>
      </c>
      <c r="D63" s="764">
        <v>0</v>
      </c>
      <c r="E63" s="768">
        <f>ROUND(+IF(('Rentas de Trabajo y Pensiones'!D30+D25+D63)&gt;1200*UVT,IF(((1200*UVT)-'Rentas de Trabajo y Pensiones'!D30-D25)&gt;0,(1200*UVT)-'Rentas de Trabajo y Pensiones'!D30-D25,0),D63),-3)</f>
        <v>0</v>
      </c>
      <c r="F63" s="759" t="s">
        <v>277</v>
      </c>
    </row>
    <row r="64" spans="2:11" ht="39" customHeight="1">
      <c r="B64" s="758"/>
      <c r="C64" s="219" t="s">
        <v>282</v>
      </c>
      <c r="D64" s="765"/>
      <c r="E64" s="769"/>
      <c r="F64" s="760"/>
    </row>
    <row r="65" spans="2:6" ht="60.75" thickBot="1">
      <c r="B65" s="312" t="s">
        <v>68</v>
      </c>
      <c r="C65" s="219" t="s">
        <v>298</v>
      </c>
      <c r="D65" s="98">
        <v>0</v>
      </c>
      <c r="E65" s="394">
        <f>ROUND(IF(AND(D65&lt;E44/12,D65&lt;2500*UVT),D65,IF(E44/12&lt;2500*UVT,E44/12,2500*UVT)),-3)</f>
        <v>0</v>
      </c>
      <c r="F65" s="396" t="s">
        <v>277</v>
      </c>
    </row>
    <row r="66" spans="2:6" ht="15.75" thickBot="1">
      <c r="B66" s="486" t="s">
        <v>437</v>
      </c>
      <c r="C66" s="487"/>
      <c r="D66" s="488">
        <f>SUM(D62:D65)</f>
        <v>0</v>
      </c>
      <c r="E66" s="489">
        <f>SUM(E62:E65)</f>
        <v>0</v>
      </c>
      <c r="F66" s="144"/>
    </row>
    <row r="67" spans="2:6" ht="30" customHeight="1">
      <c r="B67" s="352" t="s">
        <v>67</v>
      </c>
      <c r="C67" s="353"/>
      <c r="D67" s="691">
        <f>D68+D69</f>
        <v>0</v>
      </c>
      <c r="E67" s="395">
        <f>ROUND(+IF(D67&lt;(E52-E53)*30%,D67,(E52-E53)*30%),-3)</f>
        <v>0</v>
      </c>
      <c r="F67" s="391"/>
    </row>
    <row r="68" spans="2:6" ht="30" customHeight="1">
      <c r="B68" s="312" t="s">
        <v>275</v>
      </c>
      <c r="C68" s="354" t="s">
        <v>290</v>
      </c>
      <c r="D68" s="98">
        <v>0</v>
      </c>
      <c r="E68" s="379"/>
      <c r="F68" s="392"/>
    </row>
    <row r="69" spans="2:6" s="142" customFormat="1" ht="30" customHeight="1" thickBot="1">
      <c r="B69" s="324" t="s">
        <v>39</v>
      </c>
      <c r="C69" s="355" t="s">
        <v>291</v>
      </c>
      <c r="D69" s="98"/>
      <c r="E69" s="380"/>
      <c r="F69" s="393"/>
    </row>
    <row r="70" spans="2:6" s="142" customFormat="1" ht="30" customHeight="1" thickBot="1">
      <c r="B70" s="486" t="s">
        <v>438</v>
      </c>
      <c r="C70" s="487"/>
      <c r="D70" s="488">
        <f>ROUND(D67,-3)</f>
        <v>0</v>
      </c>
      <c r="E70" s="489">
        <f>+E67</f>
        <v>0</v>
      </c>
      <c r="F70" s="393"/>
    </row>
    <row r="71" spans="2:6" ht="15.75" thickBot="1">
      <c r="B71" s="330"/>
      <c r="C71" s="238"/>
      <c r="D71" s="238"/>
      <c r="E71" s="381"/>
      <c r="F71" s="300"/>
    </row>
    <row r="72" spans="2:6" ht="15.75" thickBot="1">
      <c r="B72" s="528" t="s">
        <v>462</v>
      </c>
      <c r="C72" s="529"/>
      <c r="D72" s="537">
        <v>0</v>
      </c>
      <c r="E72" s="527">
        <f>ROUND(D72,-3)</f>
        <v>0</v>
      </c>
      <c r="F72" s="300"/>
    </row>
    <row r="73" spans="2:6" ht="15.75" thickBot="1">
      <c r="B73" s="330"/>
      <c r="C73" s="238"/>
      <c r="D73" s="238"/>
      <c r="E73" s="381"/>
      <c r="F73" s="300"/>
    </row>
    <row r="74" spans="2:6" ht="30.75" thickBot="1">
      <c r="B74" s="356" t="s">
        <v>40</v>
      </c>
      <c r="C74" s="357" t="s">
        <v>297</v>
      </c>
      <c r="D74" s="374">
        <f>+D70+D66</f>
        <v>0</v>
      </c>
      <c r="E74" s="382">
        <f>+E66+E70</f>
        <v>0</v>
      </c>
      <c r="F74" s="300"/>
    </row>
    <row r="75" spans="2:6" s="142" customFormat="1" ht="30" customHeight="1" thickBot="1">
      <c r="B75" s="334" t="s">
        <v>42</v>
      </c>
      <c r="C75" s="358" t="s">
        <v>297</v>
      </c>
      <c r="D75" s="335"/>
      <c r="E75" s="383">
        <f>ROUND(IF(AND(E74&lt;E61*10%,E74&lt;1000*UVT),E74,IF(E61*10%&lt;1000*UVT,E61*10%,1000*UVT)),-3)</f>
        <v>0</v>
      </c>
      <c r="F75" s="393"/>
    </row>
    <row r="76" spans="2:6" ht="30" customHeight="1" thickBot="1">
      <c r="B76" s="330"/>
      <c r="C76" s="331"/>
      <c r="D76" s="331"/>
      <c r="E76" s="351"/>
      <c r="F76" s="300"/>
    </row>
    <row r="77" spans="2:6" ht="30" customHeight="1" thickBot="1">
      <c r="B77" s="359" t="s">
        <v>35</v>
      </c>
      <c r="C77" s="360" t="s">
        <v>297</v>
      </c>
      <c r="D77" s="360"/>
      <c r="E77" s="383">
        <f>E61-E75</f>
        <v>0</v>
      </c>
      <c r="F77" s="300"/>
    </row>
    <row r="78" spans="2:6" ht="30" customHeight="1" thickBot="1">
      <c r="B78" s="338" t="s">
        <v>338</v>
      </c>
      <c r="C78" s="361" t="s">
        <v>295</v>
      </c>
      <c r="D78" s="98">
        <v>0</v>
      </c>
      <c r="E78" s="383">
        <f>ROUND(IF(D78&gt;E77,E77,D78),-3)</f>
        <v>0</v>
      </c>
      <c r="F78" s="300"/>
    </row>
    <row r="79" spans="2:6" s="142" customFormat="1" ht="30" customHeight="1" thickBot="1">
      <c r="B79" s="362" t="s">
        <v>37</v>
      </c>
      <c r="C79" s="363" t="s">
        <v>295</v>
      </c>
      <c r="D79" s="363"/>
      <c r="E79" s="383">
        <f>E77-E78</f>
        <v>0</v>
      </c>
      <c r="F79" s="393"/>
    </row>
    <row r="80" spans="2:6" ht="15.75" thickBot="1">
      <c r="B80" s="364"/>
      <c r="C80" s="238"/>
      <c r="D80" s="375"/>
      <c r="E80" s="384"/>
      <c r="F80" s="300"/>
    </row>
    <row r="81" spans="2:6" ht="15" customHeight="1" thickBot="1">
      <c r="B81" s="365" t="s">
        <v>85</v>
      </c>
      <c r="C81" s="366" t="s">
        <v>299</v>
      </c>
      <c r="D81" s="376"/>
      <c r="E81" s="385">
        <f>IF(E41+E79&gt;0,E41+E79,0)</f>
        <v>0</v>
      </c>
      <c r="F81" s="300"/>
    </row>
    <row r="82" spans="2:6">
      <c r="B82" s="367" t="s">
        <v>29</v>
      </c>
      <c r="C82" s="368"/>
      <c r="D82" s="368"/>
      <c r="E82" s="386">
        <f>E81/UVT</f>
        <v>0</v>
      </c>
      <c r="F82" s="300"/>
    </row>
    <row r="83" spans="2:6">
      <c r="B83" s="369" t="s">
        <v>81</v>
      </c>
      <c r="C83" s="258" t="s">
        <v>300</v>
      </c>
      <c r="D83" s="377"/>
      <c r="E83" s="387">
        <f>+VLOOKUP(E82,Tabla241inc2[],2)</f>
        <v>0</v>
      </c>
      <c r="F83" s="300"/>
    </row>
    <row r="84" spans="2:6">
      <c r="B84" s="370" t="s">
        <v>82</v>
      </c>
      <c r="C84" s="258" t="s">
        <v>300</v>
      </c>
      <c r="D84" s="272"/>
      <c r="E84" s="388">
        <f>+VLOOKUP(E82,Tabla241inc2[],3)</f>
        <v>0</v>
      </c>
      <c r="F84" s="300"/>
    </row>
    <row r="85" spans="2:6">
      <c r="B85" s="370" t="s">
        <v>83</v>
      </c>
      <c r="C85" s="258" t="s">
        <v>300</v>
      </c>
      <c r="D85" s="272"/>
      <c r="E85" s="388">
        <f>+VLOOKUP(E82,Tabla241inc2[],4)</f>
        <v>0</v>
      </c>
      <c r="F85" s="300"/>
    </row>
    <row r="86" spans="2:6" ht="30" customHeight="1" thickBot="1">
      <c r="B86" s="371" t="s">
        <v>30</v>
      </c>
      <c r="C86" s="258" t="s">
        <v>300</v>
      </c>
      <c r="D86" s="378"/>
      <c r="E86" s="389">
        <f>+(E82-E84)*E83+E85</f>
        <v>0</v>
      </c>
      <c r="F86" s="300"/>
    </row>
    <row r="87" spans="2:6" ht="15.75" thickBot="1">
      <c r="B87" s="372" t="s">
        <v>108</v>
      </c>
      <c r="C87" s="299"/>
      <c r="D87" s="275"/>
      <c r="E87" s="390">
        <f>ROUND(E86*UVT,-3)</f>
        <v>0</v>
      </c>
      <c r="F87" s="300"/>
    </row>
    <row r="88" spans="2:6" ht="15.75" thickBot="1">
      <c r="B88" s="300"/>
      <c r="C88" s="300"/>
      <c r="D88" s="300"/>
      <c r="E88" s="300"/>
      <c r="F88" s="300"/>
    </row>
    <row r="89" spans="2:6" ht="19.5" thickBot="1">
      <c r="B89" s="752" t="s">
        <v>229</v>
      </c>
      <c r="C89" s="753"/>
      <c r="D89" s="754"/>
      <c r="E89" s="555">
        <v>0</v>
      </c>
      <c r="F89" s="300"/>
    </row>
    <row r="90" spans="2:6">
      <c r="B90" s="300"/>
      <c r="C90" s="300"/>
      <c r="D90" s="300"/>
      <c r="E90" s="300"/>
      <c r="F90" s="300"/>
    </row>
    <row r="91" spans="2:6">
      <c r="B91" s="300"/>
      <c r="C91" s="300"/>
      <c r="D91" s="300"/>
      <c r="E91" s="300"/>
      <c r="F91" s="300"/>
    </row>
    <row r="92" spans="2:6">
      <c r="B92" s="300"/>
      <c r="C92" s="300"/>
      <c r="D92" s="300"/>
      <c r="E92" s="300"/>
      <c r="F92" s="300"/>
    </row>
    <row r="93" spans="2:6">
      <c r="B93" s="300"/>
      <c r="C93" s="300"/>
      <c r="D93" s="300"/>
      <c r="E93" s="300"/>
      <c r="F93" s="300"/>
    </row>
  </sheetData>
  <sheetProtection algorithmName="SHA-512" hashValue="l5tmbrUgaKQit5VmDAZz3Q4tUlfx5GNJOqovG0KQYJRMJTbZ60as6Yy6u2LDx4LakNpBFtJPYFZf4/sOs9JBVA==" saltValue="FMN6aM+THc1vEANbAKJipw==" spinCount="100000" sheet="1" objects="1" scenarios="1"/>
  <mergeCells count="10">
    <mergeCell ref="B89:D89"/>
    <mergeCell ref="F25:F26"/>
    <mergeCell ref="B63:B64"/>
    <mergeCell ref="F63:F64"/>
    <mergeCell ref="B8:E8"/>
    <mergeCell ref="D25:D26"/>
    <mergeCell ref="E25:E26"/>
    <mergeCell ref="E63:E64"/>
    <mergeCell ref="B25:B26"/>
    <mergeCell ref="D63:D64"/>
  </mergeCells>
  <dataValidations count="3">
    <dataValidation type="whole" allowBlank="1" showInputMessage="1" showErrorMessage="1" sqref="E63">
      <formula1>0</formula1>
      <formula2>1200</formula2>
    </dataValidation>
    <dataValidation type="whole" operator="lessThanOrEqual" allowBlank="1" showInputMessage="1" showErrorMessage="1" errorTitle="ERROR" error="El Valore no puede ser Mayor que la Renta Liquida_x000d_" sqref="D78 D40">
      <formula1>E39</formula1>
    </dataValidation>
    <dataValidation type="custom" allowBlank="1" showInputMessage="1" showErrorMessage="1" errorTitle="ERROR" error="Ya ha superado las 3.800 UVT" sqref="D28">
      <formula1>(D48+D25+D63)&lt;=3800*UVT</formula1>
    </dataValidation>
  </dataValidations>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7">
        <x14:dataValidation type="custom" allowBlank="1" showInputMessage="1" showErrorMessage="1" errorTitle="ERROR" error="Ya ha superado las 3.800 UVT">
          <x14:formula1>
            <xm:f>('Rentas de Trabajo y Pensiones'!D59+D29+D67)&lt;=3800*UVT</xm:f>
          </x14:formula1>
          <xm:sqref>D30</xm:sqref>
        </x14:dataValidation>
        <x14:dataValidation type="custom" allowBlank="1" showInputMessage="1" showErrorMessage="1" errorTitle="ERROR" error="Ya ha superado las 3.800 UVT">
          <x14:formula1>
            <xm:f>('Rentas de Trabajo y Pensiones'!D59+D29+D67)&lt;=3800*UVT</xm:f>
          </x14:formula1>
          <xm:sqref>D31</xm:sqref>
        </x14:dataValidation>
        <x14:dataValidation type="custom" allowBlank="1" showInputMessage="1" showErrorMessage="1">
          <x14:formula1>
            <xm:f>('Rentas de Trabajo y Pensiones'!D59+D29+D67)&lt;=3800*UVT</xm:f>
          </x14:formula1>
          <xm:sqref>D68</xm:sqref>
        </x14:dataValidation>
        <x14:dataValidation type="custom" allowBlank="1" showInputMessage="1" showErrorMessage="1">
          <x14:formula1>
            <xm:f>('Rentas de Trabajo y Pensiones'!D59+D29+D67)&lt;=3800*UVT</xm:f>
          </x14:formula1>
          <xm:sqref>D69</xm:sqref>
        </x14:dataValidation>
        <x14:dataValidation type="custom" allowBlank="1" showInputMessage="1" showErrorMessage="1" errorTitle="ERROR" error="Ya superó las 1.200 UVT">
          <x14:formula1>
            <xm:f>('Rentas de Trabajo y Pensiones'!D38+D25)&lt;(1200*UVT)</xm:f>
          </x14:formula1>
          <xm:sqref>D63</xm:sqref>
        </x14:dataValidation>
        <x14:dataValidation type="custom" allowBlank="1" showInputMessage="1" showErrorMessage="1" errorTitle="ERROR" error="Ya superó las 1.200 UVT">
          <x14:formula1>
            <xm:f>('Rentas de Trabajo y Pensiones'!D38+D63)&lt;(1200*UVT)</xm:f>
          </x14:formula1>
          <xm:sqref>D25:D26</xm:sqref>
        </x14:dataValidation>
        <x14:dataValidation type="custom" allowBlank="1" showInputMessage="1" showErrorMessage="1" errorTitle="ERROR" error="Ya escribio valor en Rentas Laborales">
          <x14:formula1>
            <xm:f>'Rentas de Trabajo y Pensiones'!D18=0</xm:f>
          </x14:formula1>
          <xm:sqref>D44:D45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19" zoomScale="110" zoomScaleNormal="110" zoomScalePageLayoutView="110" workbookViewId="0">
      <selection activeCell="E42" sqref="E42"/>
    </sheetView>
  </sheetViews>
  <sheetFormatPr baseColWidth="10" defaultColWidth="0" defaultRowHeight="15" zeroHeight="1"/>
  <cols>
    <col min="1" max="1" width="4.42578125" style="144" customWidth="1"/>
    <col min="2" max="2" width="77" style="144" customWidth="1"/>
    <col min="3" max="3" width="20.28515625" style="144" customWidth="1"/>
    <col min="4" max="5" width="15.42578125" style="144" bestFit="1" customWidth="1"/>
    <col min="6" max="6" width="11.42578125" style="144" customWidth="1"/>
    <col min="7" max="16384" width="11.42578125" style="144" hidden="1"/>
  </cols>
  <sheetData>
    <row r="1" spans="2:5"/>
    <row r="2" spans="2:5"/>
    <row r="3" spans="2:5"/>
    <row r="4" spans="2:5"/>
    <row r="5" spans="2:5"/>
    <row r="6" spans="2:5"/>
    <row r="7" spans="2:5"/>
    <row r="8" spans="2:5" ht="11.25" customHeight="1" thickBot="1"/>
    <row r="9" spans="2:5" ht="15.75" thickBot="1">
      <c r="B9" s="761" t="s">
        <v>95</v>
      </c>
      <c r="C9" s="762"/>
      <c r="D9" s="762"/>
      <c r="E9" s="763"/>
    </row>
    <row r="10" spans="2:5" ht="15.75" thickBot="1">
      <c r="B10" s="301"/>
      <c r="C10" s="301"/>
      <c r="D10" s="301"/>
      <c r="E10" s="301"/>
    </row>
    <row r="11" spans="2:5">
      <c r="B11" s="302" t="s">
        <v>90</v>
      </c>
      <c r="C11" s="303"/>
      <c r="D11" s="444" t="s">
        <v>38</v>
      </c>
      <c r="E11" s="319"/>
    </row>
    <row r="12" spans="2:5">
      <c r="B12" s="304" t="s">
        <v>334</v>
      </c>
      <c r="C12" s="305" t="s">
        <v>324</v>
      </c>
      <c r="D12" s="100">
        <v>0</v>
      </c>
      <c r="E12" s="432">
        <f>ROUND(D12,-3)</f>
        <v>0</v>
      </c>
    </row>
    <row r="13" spans="2:5" ht="15.75" thickBot="1">
      <c r="B13" s="304" t="s">
        <v>419</v>
      </c>
      <c r="C13" s="305" t="s">
        <v>324</v>
      </c>
      <c r="D13" s="100">
        <v>0</v>
      </c>
      <c r="E13" s="432">
        <f>ROUND(D13,-3)</f>
        <v>0</v>
      </c>
    </row>
    <row r="14" spans="2:5">
      <c r="B14" s="309" t="s">
        <v>418</v>
      </c>
      <c r="C14" s="310"/>
      <c r="D14" s="440"/>
      <c r="E14" s="433">
        <f>SUM(E12:E13)</f>
        <v>0</v>
      </c>
    </row>
    <row r="15" spans="2:5">
      <c r="B15" s="304" t="s">
        <v>336</v>
      </c>
      <c r="C15" s="305" t="s">
        <v>324</v>
      </c>
      <c r="D15" s="100">
        <v>0</v>
      </c>
      <c r="E15" s="432">
        <f>ROUND(D15,-3)</f>
        <v>0</v>
      </c>
    </row>
    <row r="16" spans="2:5" ht="15.75" thickBot="1">
      <c r="B16" s="304" t="s">
        <v>335</v>
      </c>
      <c r="C16" s="305" t="s">
        <v>324</v>
      </c>
      <c r="D16" s="100">
        <v>0</v>
      </c>
      <c r="E16" s="432">
        <f>ROUND(D16,-3)</f>
        <v>0</v>
      </c>
    </row>
    <row r="17" spans="2:5" ht="15.75" thickBot="1">
      <c r="B17" s="309" t="s">
        <v>87</v>
      </c>
      <c r="C17" s="310"/>
      <c r="D17" s="440"/>
      <c r="E17" s="433">
        <f>SUM(E15:E16)</f>
        <v>0</v>
      </c>
    </row>
    <row r="18" spans="2:5" ht="17.25" customHeight="1" thickBot="1">
      <c r="B18" s="311" t="s">
        <v>89</v>
      </c>
      <c r="C18" s="416" t="s">
        <v>86</v>
      </c>
      <c r="D18" s="415">
        <v>0</v>
      </c>
      <c r="E18" s="432">
        <f>ROUND(D18,-3)</f>
        <v>0</v>
      </c>
    </row>
    <row r="19" spans="2:5" ht="15.75" thickBot="1">
      <c r="B19" s="349" t="s">
        <v>88</v>
      </c>
      <c r="C19" s="316" t="s">
        <v>294</v>
      </c>
      <c r="D19" s="414"/>
      <c r="E19" s="434">
        <f>E14+E17-E18</f>
        <v>0</v>
      </c>
    </row>
    <row r="20" spans="2:5" ht="15.75" thickBot="1">
      <c r="B20" s="530" t="s">
        <v>464</v>
      </c>
      <c r="C20" s="531"/>
      <c r="D20" s="538">
        <v>0</v>
      </c>
      <c r="E20" s="527">
        <f>ROUND(D20,-3)</f>
        <v>0</v>
      </c>
    </row>
    <row r="21" spans="2:5" ht="15.75" thickBot="1"/>
    <row r="22" spans="2:5" ht="15.75" thickBot="1">
      <c r="B22" s="417" t="s">
        <v>91</v>
      </c>
      <c r="C22" s="418" t="s">
        <v>100</v>
      </c>
      <c r="D22" s="418"/>
      <c r="E22" s="435">
        <f>+E15</f>
        <v>0</v>
      </c>
    </row>
    <row r="23" spans="2:5">
      <c r="B23" s="419" t="s">
        <v>29</v>
      </c>
      <c r="C23" s="420"/>
      <c r="D23" s="420"/>
      <c r="E23" s="436">
        <f>E22/UVT</f>
        <v>0</v>
      </c>
    </row>
    <row r="24" spans="2:5">
      <c r="B24" s="421" t="s">
        <v>96</v>
      </c>
      <c r="C24" s="422"/>
      <c r="D24" s="422"/>
      <c r="E24" s="387">
        <f>+VLOOKUP(E23,Tabla242inc1[],2)</f>
        <v>0</v>
      </c>
    </row>
    <row r="25" spans="2:5">
      <c r="B25" s="421" t="s">
        <v>97</v>
      </c>
      <c r="C25" s="422"/>
      <c r="D25" s="422"/>
      <c r="E25" s="388">
        <f>+VLOOKUP(E23,Tabla242inc1[],3)</f>
        <v>0</v>
      </c>
    </row>
    <row r="26" spans="2:5" ht="15.75" thickBot="1">
      <c r="B26" s="421" t="s">
        <v>98</v>
      </c>
      <c r="C26" s="422"/>
      <c r="D26" s="422"/>
      <c r="E26" s="388">
        <f>+VLOOKUP(E23,Tabla242inc1[],4)</f>
        <v>0</v>
      </c>
    </row>
    <row r="27" spans="2:5" ht="15.75" thickBot="1">
      <c r="B27" s="423" t="s">
        <v>30</v>
      </c>
      <c r="C27" s="424" t="s">
        <v>321</v>
      </c>
      <c r="D27" s="441"/>
      <c r="E27" s="389">
        <f>+(E23-E25)*E24+E26</f>
        <v>0</v>
      </c>
    </row>
    <row r="28" spans="2:5" ht="15.75" thickBot="1">
      <c r="B28" s="425" t="s">
        <v>92</v>
      </c>
      <c r="C28" s="426"/>
      <c r="D28" s="426"/>
      <c r="E28" s="437">
        <f>ROUND(E27*UVT,-3)</f>
        <v>0</v>
      </c>
    </row>
    <row r="29" spans="2:5" ht="15.75" thickBot="1"/>
    <row r="30" spans="2:5" ht="15.75" thickBot="1">
      <c r="B30" s="417" t="s">
        <v>93</v>
      </c>
      <c r="C30" s="418" t="s">
        <v>323</v>
      </c>
      <c r="D30" s="418"/>
      <c r="E30" s="435">
        <f>E16</f>
        <v>0</v>
      </c>
    </row>
    <row r="31" spans="2:5" ht="15.75" thickBot="1">
      <c r="B31" s="425" t="s">
        <v>94</v>
      </c>
      <c r="C31" s="427" t="s">
        <v>322</v>
      </c>
      <c r="D31" s="429"/>
      <c r="E31" s="437">
        <f>ROUND(E30*35%,-3)</f>
        <v>0</v>
      </c>
    </row>
    <row r="32" spans="2:5" s="142" customFormat="1" ht="15.75" thickBot="1">
      <c r="E32" s="438"/>
    </row>
    <row r="33" spans="2:5" ht="15.75" thickBot="1">
      <c r="B33" s="417" t="s">
        <v>99</v>
      </c>
      <c r="C33" s="418" t="s">
        <v>322</v>
      </c>
      <c r="D33" s="418"/>
      <c r="E33" s="435">
        <f>E30-E31</f>
        <v>0</v>
      </c>
    </row>
    <row r="34" spans="2:5" ht="15.75" thickBot="1">
      <c r="B34" s="419" t="s">
        <v>29</v>
      </c>
      <c r="C34" s="424" t="s">
        <v>321</v>
      </c>
      <c r="D34" s="420"/>
      <c r="E34" s="436">
        <f>E33/UVT</f>
        <v>0</v>
      </c>
    </row>
    <row r="35" spans="2:5" ht="15.75" thickBot="1">
      <c r="B35" s="421" t="s">
        <v>96</v>
      </c>
      <c r="C35" s="424" t="s">
        <v>321</v>
      </c>
      <c r="D35" s="422"/>
      <c r="E35" s="387">
        <f>+VLOOKUP(E34,Tabla242inc1[],2)</f>
        <v>0</v>
      </c>
    </row>
    <row r="36" spans="2:5" ht="15.75" thickBot="1">
      <c r="B36" s="421" t="s">
        <v>97</v>
      </c>
      <c r="C36" s="424" t="s">
        <v>321</v>
      </c>
      <c r="D36" s="422"/>
      <c r="E36" s="388">
        <f>+VLOOKUP(E34,Tabla242inc1[],3)</f>
        <v>0</v>
      </c>
    </row>
    <row r="37" spans="2:5" ht="15.75" thickBot="1">
      <c r="B37" s="421" t="s">
        <v>98</v>
      </c>
      <c r="C37" s="424" t="s">
        <v>321</v>
      </c>
      <c r="D37" s="422"/>
      <c r="E37" s="388">
        <f>+VLOOKUP(E34,Tabla242inc1[],4)</f>
        <v>0</v>
      </c>
    </row>
    <row r="38" spans="2:5" ht="15.75" thickBot="1">
      <c r="B38" s="423" t="s">
        <v>30</v>
      </c>
      <c r="C38" s="424" t="s">
        <v>321</v>
      </c>
      <c r="D38" s="441"/>
      <c r="E38" s="389">
        <f>+(E34-E36)*E35+E37</f>
        <v>0</v>
      </c>
    </row>
    <row r="39" spans="2:5" ht="15.75" thickBot="1">
      <c r="B39" s="428" t="s">
        <v>245</v>
      </c>
      <c r="C39" s="429"/>
      <c r="D39" s="429"/>
      <c r="E39" s="437">
        <f>ROUND(E38*UVT,-3)</f>
        <v>0</v>
      </c>
    </row>
    <row r="40" spans="2:5" ht="15.75" thickBot="1">
      <c r="B40" s="519" t="s">
        <v>456</v>
      </c>
      <c r="C40" s="520"/>
      <c r="D40" s="520"/>
      <c r="E40" s="521">
        <f>+E39+E31</f>
        <v>0</v>
      </c>
    </row>
    <row r="41" spans="2:5" ht="15.75" thickBot="1"/>
    <row r="42" spans="2:5" ht="15.75" thickBot="1">
      <c r="B42" s="417" t="s">
        <v>420</v>
      </c>
      <c r="C42" s="418" t="s">
        <v>422</v>
      </c>
      <c r="D42" s="418"/>
      <c r="E42" s="435">
        <f>+E13</f>
        <v>0</v>
      </c>
    </row>
    <row r="43" spans="2:5" ht="33" customHeight="1" thickBot="1">
      <c r="B43" s="430" t="s">
        <v>421</v>
      </c>
      <c r="C43" s="431" t="s">
        <v>423</v>
      </c>
      <c r="D43" s="429"/>
      <c r="E43" s="437">
        <f>ROUND(E42*33%,-3)</f>
        <v>0</v>
      </c>
    </row>
    <row r="44" spans="2:5" ht="15.75" thickBot="1"/>
    <row r="45" spans="2:5" ht="16.5" thickBot="1">
      <c r="B45" s="298" t="s">
        <v>424</v>
      </c>
      <c r="C45" s="299"/>
      <c r="D45" s="275"/>
      <c r="E45" s="439">
        <f>E28+E31+E39+E43</f>
        <v>0</v>
      </c>
    </row>
    <row r="46" spans="2:5"/>
    <row r="47" spans="2:5"/>
  </sheetData>
  <sheetProtection algorithmName="SHA-512" hashValue="U6eO2bsEIJqWmGSF4O51gqMFuPZmftB6G1l12UTyAX4UvcIhLOqLoRESj+om6dJLcp+HuWmtMzBQFkOoTTR7gA==" saltValue="8nxdm4Cs4S/PMya8VOuoQw==" spinCount="100000" sheet="1" objects="1" scenarios="1"/>
  <mergeCells count="1">
    <mergeCell ref="B9:E9"/>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43" zoomScale="110" zoomScaleNormal="110" zoomScalePageLayoutView="200" workbookViewId="0">
      <selection activeCell="E11" sqref="E11"/>
    </sheetView>
  </sheetViews>
  <sheetFormatPr baseColWidth="10" defaultColWidth="0" defaultRowHeight="15" zeroHeight="1"/>
  <cols>
    <col min="1" max="1" width="4.28515625" style="144" customWidth="1"/>
    <col min="2" max="2" width="66" style="144" customWidth="1"/>
    <col min="3" max="3" width="25.28515625" style="144" customWidth="1"/>
    <col min="4" max="4" width="15.42578125" style="144" customWidth="1"/>
    <col min="5" max="5" width="16.140625" style="144" customWidth="1"/>
    <col min="6" max="6" width="4.42578125" style="144" customWidth="1"/>
    <col min="7" max="16384" width="11.42578125" style="144" hidden="1"/>
  </cols>
  <sheetData>
    <row r="1" spans="2:5"/>
    <row r="2" spans="2:5"/>
    <row r="3" spans="2:5"/>
    <row r="4" spans="2:5"/>
    <row r="5" spans="2:5"/>
    <row r="6" spans="2:5"/>
    <row r="7" spans="2:5"/>
    <row r="8" spans="2:5" ht="15.75" thickBot="1"/>
    <row r="9" spans="2:5" ht="15.75" thickBot="1">
      <c r="B9" s="761" t="s">
        <v>101</v>
      </c>
      <c r="C9" s="762"/>
      <c r="D9" s="762"/>
      <c r="E9" s="763"/>
    </row>
    <row r="10" spans="2:5" ht="15.75" thickBot="1">
      <c r="B10" s="301" t="s">
        <v>102</v>
      </c>
      <c r="C10" s="301"/>
      <c r="D10" s="301"/>
      <c r="E10" s="301"/>
    </row>
    <row r="11" spans="2:5">
      <c r="B11" s="302" t="s">
        <v>103</v>
      </c>
      <c r="C11" s="303"/>
      <c r="D11" s="444" t="s">
        <v>38</v>
      </c>
      <c r="E11" s="319"/>
    </row>
    <row r="12" spans="2:5">
      <c r="B12" s="304" t="s">
        <v>104</v>
      </c>
      <c r="C12" s="305" t="s">
        <v>386</v>
      </c>
      <c r="D12" s="100">
        <v>0</v>
      </c>
      <c r="E12" s="432">
        <f>ROUND(D12,-3)</f>
        <v>0</v>
      </c>
    </row>
    <row r="13" spans="2:5">
      <c r="B13" s="304" t="s">
        <v>395</v>
      </c>
      <c r="C13" s="305" t="s">
        <v>491</v>
      </c>
      <c r="D13" s="100">
        <v>0</v>
      </c>
      <c r="E13" s="432">
        <f t="shared" ref="E13:E31" si="0">ROUND(D13,-3)</f>
        <v>0</v>
      </c>
    </row>
    <row r="14" spans="2:5">
      <c r="B14" s="304" t="s">
        <v>496</v>
      </c>
      <c r="C14" s="305" t="s">
        <v>492</v>
      </c>
      <c r="D14" s="100">
        <v>0</v>
      </c>
      <c r="E14" s="432">
        <f t="shared" si="0"/>
        <v>0</v>
      </c>
    </row>
    <row r="15" spans="2:5">
      <c r="B15" s="304" t="s">
        <v>383</v>
      </c>
      <c r="C15" s="305" t="s">
        <v>387</v>
      </c>
      <c r="D15" s="100">
        <v>0</v>
      </c>
      <c r="E15" s="432">
        <f t="shared" si="0"/>
        <v>0</v>
      </c>
    </row>
    <row r="16" spans="2:5">
      <c r="B16" s="304" t="s">
        <v>497</v>
      </c>
      <c r="C16" s="305" t="s">
        <v>388</v>
      </c>
      <c r="D16" s="100">
        <v>0</v>
      </c>
      <c r="E16" s="432">
        <f t="shared" si="0"/>
        <v>0</v>
      </c>
    </row>
    <row r="17" spans="2:5">
      <c r="B17" s="304" t="s">
        <v>564</v>
      </c>
      <c r="C17" s="305" t="s">
        <v>388</v>
      </c>
      <c r="D17" s="100">
        <v>0</v>
      </c>
      <c r="E17" s="432">
        <f t="shared" si="0"/>
        <v>0</v>
      </c>
    </row>
    <row r="18" spans="2:5">
      <c r="B18" s="304" t="s">
        <v>563</v>
      </c>
      <c r="C18" s="305" t="s">
        <v>388</v>
      </c>
      <c r="D18" s="100">
        <v>0</v>
      </c>
      <c r="E18" s="432">
        <f t="shared" si="0"/>
        <v>0</v>
      </c>
    </row>
    <row r="19" spans="2:5">
      <c r="B19" s="304" t="s">
        <v>390</v>
      </c>
      <c r="C19" s="305" t="s">
        <v>389</v>
      </c>
      <c r="D19" s="100">
        <v>0</v>
      </c>
      <c r="E19" s="432">
        <f t="shared" si="0"/>
        <v>0</v>
      </c>
    </row>
    <row r="20" spans="2:5" ht="15.75" thickBot="1">
      <c r="B20" s="523" t="s">
        <v>459</v>
      </c>
      <c r="C20" s="446"/>
      <c r="D20" s="100">
        <v>0</v>
      </c>
      <c r="E20" s="432">
        <f t="shared" si="0"/>
        <v>0</v>
      </c>
    </row>
    <row r="21" spans="2:5" ht="15.75" thickBot="1">
      <c r="B21" s="349" t="s">
        <v>391</v>
      </c>
      <c r="C21" s="445"/>
      <c r="D21" s="460"/>
      <c r="E21" s="455">
        <f>SUM(E12:E20)</f>
        <v>0</v>
      </c>
    </row>
    <row r="22" spans="2:5">
      <c r="B22" s="304" t="s">
        <v>384</v>
      </c>
      <c r="C22" s="305" t="s">
        <v>386</v>
      </c>
      <c r="D22" s="100">
        <v>0</v>
      </c>
      <c r="E22" s="432">
        <f t="shared" si="0"/>
        <v>0</v>
      </c>
    </row>
    <row r="23" spans="2:5" ht="15.75" thickBot="1">
      <c r="B23" s="304" t="s">
        <v>385</v>
      </c>
      <c r="C23" s="446" t="s">
        <v>394</v>
      </c>
      <c r="D23" s="442">
        <v>0</v>
      </c>
      <c r="E23" s="432">
        <f t="shared" si="0"/>
        <v>0</v>
      </c>
    </row>
    <row r="24" spans="2:5" ht="15.75" thickBot="1">
      <c r="B24" s="349" t="s">
        <v>392</v>
      </c>
      <c r="C24" s="445"/>
      <c r="D24" s="460"/>
      <c r="E24" s="455">
        <f>SUM(E22:E23)</f>
        <v>0</v>
      </c>
    </row>
    <row r="25" spans="2:5">
      <c r="B25" s="304" t="s">
        <v>495</v>
      </c>
      <c r="C25" s="619" t="s">
        <v>489</v>
      </c>
      <c r="D25" s="624">
        <v>0</v>
      </c>
      <c r="E25" s="432">
        <f t="shared" si="0"/>
        <v>0</v>
      </c>
    </row>
    <row r="26" spans="2:5" ht="30">
      <c r="B26" s="304" t="s">
        <v>498</v>
      </c>
      <c r="C26" s="620" t="s">
        <v>396</v>
      </c>
      <c r="D26" s="466">
        <v>0</v>
      </c>
      <c r="E26" s="432">
        <f t="shared" si="0"/>
        <v>0</v>
      </c>
    </row>
    <row r="27" spans="2:5" ht="18" customHeight="1">
      <c r="B27" s="304" t="s">
        <v>500</v>
      </c>
      <c r="C27" s="621" t="s">
        <v>490</v>
      </c>
      <c r="D27" s="100">
        <v>0</v>
      </c>
      <c r="E27" s="432">
        <f t="shared" si="0"/>
        <v>0</v>
      </c>
    </row>
    <row r="28" spans="2:5" ht="19.5" customHeight="1">
      <c r="B28" s="304" t="s">
        <v>106</v>
      </c>
      <c r="C28" s="621" t="s">
        <v>107</v>
      </c>
      <c r="D28" s="100">
        <v>0</v>
      </c>
      <c r="E28" s="432">
        <f t="shared" si="0"/>
        <v>0</v>
      </c>
    </row>
    <row r="29" spans="2:5" ht="33" customHeight="1">
      <c r="B29" s="304" t="s">
        <v>561</v>
      </c>
      <c r="C29" s="621" t="s">
        <v>493</v>
      </c>
      <c r="D29" s="443">
        <v>0</v>
      </c>
      <c r="E29" s="432">
        <f t="shared" si="0"/>
        <v>0</v>
      </c>
    </row>
    <row r="30" spans="2:5" ht="19.5" customHeight="1">
      <c r="B30" s="618" t="s">
        <v>562</v>
      </c>
      <c r="C30" s="622" t="s">
        <v>493</v>
      </c>
      <c r="D30" s="443">
        <v>0</v>
      </c>
      <c r="E30" s="539">
        <f t="shared" ref="E30" si="1">ROUND(D30,-3)</f>
        <v>0</v>
      </c>
    </row>
    <row r="31" spans="2:5" ht="30.75" thickBot="1">
      <c r="B31" s="304" t="s">
        <v>560</v>
      </c>
      <c r="C31" s="623" t="s">
        <v>494</v>
      </c>
      <c r="D31" s="625">
        <v>0</v>
      </c>
      <c r="E31" s="539">
        <f t="shared" si="0"/>
        <v>0</v>
      </c>
    </row>
    <row r="32" spans="2:5" ht="15.75" thickBot="1">
      <c r="B32" s="349" t="s">
        <v>393</v>
      </c>
      <c r="C32" s="447"/>
      <c r="D32" s="460"/>
      <c r="E32" s="455">
        <f>SUM(E25:E31)</f>
        <v>0</v>
      </c>
    </row>
    <row r="33" spans="2:5" ht="15.75" thickBot="1">
      <c r="B33" s="349" t="s">
        <v>397</v>
      </c>
      <c r="C33" s="445"/>
      <c r="D33" s="460"/>
      <c r="E33" s="455">
        <f>+E21-E24-E32</f>
        <v>0</v>
      </c>
    </row>
    <row r="34" spans="2:5" ht="15.75" thickBot="1">
      <c r="B34" s="532" t="s">
        <v>466</v>
      </c>
      <c r="C34" s="533"/>
      <c r="D34" s="534">
        <v>0</v>
      </c>
      <c r="E34" s="527">
        <f>ROUND(D34,-3)</f>
        <v>0</v>
      </c>
    </row>
    <row r="35" spans="2:5" s="142" customFormat="1" ht="15.75" thickBot="1">
      <c r="B35" s="351"/>
      <c r="C35" s="331"/>
      <c r="D35" s="461"/>
      <c r="E35" s="456"/>
    </row>
    <row r="36" spans="2:5" ht="15.75" thickBot="1">
      <c r="B36" s="772" t="s">
        <v>105</v>
      </c>
      <c r="C36" s="773"/>
      <c r="D36" s="773"/>
      <c r="E36" s="774"/>
    </row>
    <row r="37" spans="2:5" ht="15.75" thickBot="1">
      <c r="B37" s="448" t="s">
        <v>398</v>
      </c>
      <c r="C37" s="449"/>
      <c r="D37" s="462"/>
      <c r="E37" s="457">
        <f>+E33</f>
        <v>0</v>
      </c>
    </row>
    <row r="38" spans="2:5" ht="21.75" customHeight="1" thickBot="1">
      <c r="B38" s="304" t="s">
        <v>390</v>
      </c>
      <c r="C38" s="314"/>
      <c r="D38" s="100">
        <v>0</v>
      </c>
      <c r="E38" s="527">
        <f>ROUND(D38,-3)</f>
        <v>0</v>
      </c>
    </row>
    <row r="39" spans="2:5" ht="19.5" customHeight="1" thickBot="1">
      <c r="B39" s="304" t="s">
        <v>399</v>
      </c>
      <c r="C39" s="305"/>
      <c r="D39" s="463"/>
      <c r="E39" s="432">
        <f>E33-E38</f>
        <v>0</v>
      </c>
    </row>
    <row r="40" spans="2:5" ht="16.5" thickBot="1">
      <c r="B40" s="298" t="s">
        <v>109</v>
      </c>
      <c r="C40" s="450" t="s">
        <v>110</v>
      </c>
      <c r="D40" s="275"/>
      <c r="E40" s="439">
        <f>ROUND(E39*10%,-3)</f>
        <v>0</v>
      </c>
    </row>
    <row r="41" spans="2:5" ht="16.5" thickBot="1">
      <c r="B41" s="451" t="s">
        <v>400</v>
      </c>
      <c r="C41" s="452" t="s">
        <v>110</v>
      </c>
      <c r="D41" s="464"/>
      <c r="E41" s="458">
        <f>ROUND(E38*20%,-3)</f>
        <v>0</v>
      </c>
    </row>
    <row r="42" spans="2:5" ht="16.5" thickBot="1">
      <c r="B42" s="453" t="s">
        <v>465</v>
      </c>
      <c r="C42" s="454" t="s">
        <v>110</v>
      </c>
      <c r="D42" s="465"/>
      <c r="E42" s="459">
        <f>+E40+E41</f>
        <v>0</v>
      </c>
    </row>
    <row r="43" spans="2:5"/>
    <row r="44" spans="2:5"/>
  </sheetData>
  <sheetProtection algorithmName="SHA-512" hashValue="qkAXQjssQcl59rLwtwVK++gfsA7ipS8ZXXZzGuJhx+SMlh12IoHdaRHXz9G/T27ThcIko3ASy/W+nyE1IU2Q5w==" saltValue="teR2rNjw6LfGAyj4hO5Jog==" spinCount="100000" sheet="1" objects="1" scenarios="1"/>
  <mergeCells count="2">
    <mergeCell ref="B9:E9"/>
    <mergeCell ref="B36:E36"/>
  </mergeCells>
  <dataValidations count="5">
    <dataValidation type="custom" allowBlank="1" showInputMessage="1" showErrorMessage="1" errorTitle="ERROR" error="El valor debe ser menor al Monto de la Enajenación de la vivienda de habitación y no superar las 7.700 UVT_x000a_" sqref="D25">
      <formula1>AND(D25&lt;=D13,D25&lt;=7700*UVT)</formula1>
    </dataValidation>
    <dataValidation type="custom" allowBlank="1" showInputMessage="1" showErrorMessage="1" errorTitle="ERROR" error="El valor debe ser menor a la Utilidad en la Enajenación de la vivienda de habitación y no superar las 7.200 UVT_x000a_" sqref="D26">
      <formula1>AND(D26&lt;=(D13-D22-D25),D26&lt;=7200*UVT)</formula1>
    </dataValidation>
    <dataValidation type="custom" allowBlank="1" showInputMessage="1" showErrorMessage="1" errorTitle="ERROR" error="El valor debe ser menor al Monto de la Enajenación del Inmueble Rural distinto de CASA QUINTA o FINCA de RECREO y no superar las 7.700 UVT" sqref="D27">
      <formula1>AND(D27&lt;=D14,D27&lt;=7700*UVT)</formula1>
    </dataValidation>
    <dataValidation type="custom" allowBlank="1" showInputMessage="1" showErrorMessage="1" errorTitle="ERROR" error="El valor debe ser menor al Monto de la Porción y no superar las 3.490 UVT" sqref="D29:D30">
      <formula1>AND(D29&lt;=D16,D29&lt;=3490*UVT)</formula1>
    </dataValidation>
    <dataValidation type="custom" allowBlank="1" showInputMessage="1" showErrorMessage="1" errorTitle="ERROR" error="El valor debe ser menor al Monto al 20% de la Herencia, Legado o Donación y no superar las 2.290 UVT" sqref="D31">
      <formula1>AND(D31&lt;=D18,D31&lt;=2290*UVT,D31&lt;=D18*20%)</formula1>
    </dataValidation>
  </dataValidation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20" zoomScaleNormal="120" zoomScalePageLayoutView="120" workbookViewId="0">
      <selection activeCell="B4" sqref="B4"/>
    </sheetView>
  </sheetViews>
  <sheetFormatPr baseColWidth="10" defaultColWidth="0" defaultRowHeight="15" zeroHeight="1"/>
  <cols>
    <col min="1" max="1" width="4.140625" style="144" customWidth="1"/>
    <col min="2" max="2" width="82.140625" style="144" customWidth="1"/>
    <col min="3" max="3" width="16.85546875" style="144" customWidth="1"/>
    <col min="4" max="4" width="14.42578125" style="144" customWidth="1"/>
    <col min="5" max="5" width="15.42578125" style="144" customWidth="1"/>
    <col min="6" max="6" width="3.85546875" style="144" customWidth="1"/>
    <col min="7" max="16384" width="11.42578125" style="144" hidden="1"/>
  </cols>
  <sheetData>
    <row r="1" spans="2:5"/>
    <row r="2" spans="2:5"/>
    <row r="3" spans="2:5"/>
    <row r="4" spans="2:5"/>
    <row r="5" spans="2:5"/>
    <row r="6" spans="2:5"/>
    <row r="7" spans="2:5"/>
    <row r="8" spans="2:5" ht="15.75" thickBot="1"/>
    <row r="9" spans="2:5" ht="15.75" thickBot="1">
      <c r="B9" s="761" t="s">
        <v>111</v>
      </c>
      <c r="C9" s="762"/>
      <c r="D9" s="762"/>
      <c r="E9" s="763"/>
    </row>
    <row r="10" spans="2:5" ht="15.75" thickBot="1">
      <c r="B10" s="301" t="s">
        <v>102</v>
      </c>
      <c r="C10" s="301"/>
      <c r="D10" s="301"/>
      <c r="E10" s="301"/>
    </row>
    <row r="11" spans="2:5" ht="45.75" thickBot="1">
      <c r="B11" s="632" t="s">
        <v>117</v>
      </c>
      <c r="C11" s="631" t="s">
        <v>112</v>
      </c>
      <c r="D11" s="628">
        <v>0</v>
      </c>
      <c r="E11" s="629">
        <f>ROUND(D11,-3)</f>
        <v>0</v>
      </c>
    </row>
    <row r="12" spans="2:5" ht="45.75" thickBot="1">
      <c r="B12" s="632" t="s">
        <v>118</v>
      </c>
      <c r="C12" s="631" t="s">
        <v>113</v>
      </c>
      <c r="D12" s="630">
        <v>0</v>
      </c>
      <c r="E12" s="629">
        <f>ROUND(D12,-3)</f>
        <v>0</v>
      </c>
    </row>
    <row r="13" spans="2:5"/>
    <row r="14" spans="2:5"/>
  </sheetData>
  <sheetProtection algorithmName="SHA-512" hashValue="uhRFbMluqz09A8mYyn3mFpAiWiUm7rF9fZw4L42uIhLrdZcDjSaXiVxr09C3nUtZtKpqrbSKYcf10VRhudPesA==" saltValue="s8ko6425zbdf1Sqe1CSU9w==" spinCount="100000" sheet="1" objects="1" scenarios="1"/>
  <mergeCells count="1">
    <mergeCell ref="B9:E9"/>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1" zoomScale="160" zoomScaleNormal="160" zoomScalePageLayoutView="200" workbookViewId="0">
      <selection activeCell="C13" sqref="C13"/>
    </sheetView>
  </sheetViews>
  <sheetFormatPr baseColWidth="10" defaultColWidth="11.42578125" defaultRowHeight="15" zeroHeight="1"/>
  <cols>
    <col min="1" max="1" width="4.7109375" style="121" customWidth="1"/>
    <col min="2" max="2" width="40" style="121" bestFit="1" customWidth="1"/>
    <col min="3" max="4" width="15.42578125" style="121" bestFit="1" customWidth="1"/>
    <col min="5" max="5" width="16.85546875" style="121" customWidth="1"/>
    <col min="6" max="6" width="15.42578125" style="121" customWidth="1"/>
    <col min="7" max="7" width="17.85546875" style="121" customWidth="1"/>
    <col min="8" max="8" width="17.42578125" style="121" customWidth="1"/>
    <col min="9" max="9" width="6.28515625" style="121" customWidth="1"/>
    <col min="10" max="16383" width="0" style="121" hidden="1" customWidth="1"/>
    <col min="16384" max="16384" width="4.28515625" style="121" customWidth="1"/>
  </cols>
  <sheetData>
    <row r="1" spans="1:9"/>
    <row r="2" spans="1:9"/>
    <row r="3" spans="1:9"/>
    <row r="4" spans="1:9"/>
    <row r="5" spans="1:9"/>
    <row r="6" spans="1:9"/>
    <row r="7" spans="1:9"/>
    <row r="8" spans="1:9" ht="13.5" customHeight="1" thickBot="1"/>
    <row r="9" spans="1:9" ht="15.75" thickBot="1">
      <c r="A9"/>
      <c r="B9" s="799" t="s">
        <v>119</v>
      </c>
      <c r="C9" s="800"/>
      <c r="D9" s="800"/>
      <c r="E9" s="800"/>
      <c r="F9" s="800"/>
      <c r="G9" s="800"/>
      <c r="H9" s="800"/>
      <c r="I9" s="801"/>
    </row>
    <row r="10" spans="1:9"/>
    <row r="11" spans="1:9" ht="15.75" thickBot="1">
      <c r="A11" s="2"/>
      <c r="B11" s="2"/>
      <c r="C11" s="2"/>
      <c r="D11" s="2"/>
      <c r="E11" s="2"/>
      <c r="F11" s="2"/>
      <c r="G11" s="2"/>
      <c r="H11" s="2"/>
      <c r="I11" s="2"/>
    </row>
    <row r="12" spans="1:9" ht="30.75" thickBot="1">
      <c r="A12" s="796"/>
      <c r="B12" s="76"/>
      <c r="C12" s="77" t="s">
        <v>114</v>
      </c>
      <c r="D12" s="78" t="s">
        <v>120</v>
      </c>
      <c r="E12" s="78" t="s">
        <v>121</v>
      </c>
      <c r="F12" s="78" t="s">
        <v>122</v>
      </c>
      <c r="G12" s="78" t="s">
        <v>123</v>
      </c>
      <c r="H12" s="79" t="s">
        <v>115</v>
      </c>
      <c r="I12" s="796"/>
    </row>
    <row r="13" spans="1:9">
      <c r="A13" s="796"/>
      <c r="B13" s="5" t="s">
        <v>124</v>
      </c>
      <c r="C13" s="508">
        <f>'Rentas de Trabajo y Pensiones'!E23</f>
        <v>0</v>
      </c>
      <c r="D13" s="509">
        <f>'Rentas de Trabajo y Pensiones'!E63</f>
        <v>0</v>
      </c>
      <c r="E13" s="509">
        <f>'Rentas de capital y No Laborale'!E16</f>
        <v>0</v>
      </c>
      <c r="F13" s="509">
        <f>'Rentas de capital y No Laborale'!E52</f>
        <v>0</v>
      </c>
      <c r="G13" s="509">
        <f>+'Dividendos y Participaciones'!E14+'Dividendos y Participaciones'!E17</f>
        <v>0</v>
      </c>
      <c r="H13" s="510">
        <f t="shared" ref="H13:H23" si="0">SUM(C13:G13)</f>
        <v>0</v>
      </c>
      <c r="I13" s="796"/>
    </row>
    <row r="14" spans="1:9">
      <c r="A14" s="796"/>
      <c r="B14" s="5" t="s">
        <v>125</v>
      </c>
      <c r="C14" s="83">
        <f>-'Rentas de Trabajo y Pensiones'!E28</f>
        <v>0</v>
      </c>
      <c r="D14" s="83">
        <f>-('Rentas de Trabajo y Pensiones'!E64)</f>
        <v>0</v>
      </c>
      <c r="E14" s="83">
        <f>-('Rentas de capital y No Laborale'!E19+'Rentas de capital y No Laborale'!E18+'Rentas de capital y No Laborale'!E17)</f>
        <v>0</v>
      </c>
      <c r="F14" s="83">
        <f>-('Rentas de capital y No Laborale'!E53+'Rentas de capital y No Laborale'!E54+'Rentas de capital y No Laborale'!E55+'Rentas de capital y No Laborale'!E56)</f>
        <v>0</v>
      </c>
      <c r="G14" s="83">
        <f>-('Dividendos y Participaciones'!E18)</f>
        <v>0</v>
      </c>
      <c r="H14" s="507">
        <f t="shared" si="0"/>
        <v>0</v>
      </c>
      <c r="I14" s="796"/>
    </row>
    <row r="15" spans="1:9">
      <c r="A15" s="796"/>
      <c r="B15" s="5" t="s">
        <v>126</v>
      </c>
      <c r="C15" s="3" t="s">
        <v>136</v>
      </c>
      <c r="D15" s="3" t="s">
        <v>136</v>
      </c>
      <c r="E15" s="83">
        <f>-'Rentas de capital y No Laborale'!E20</f>
        <v>0</v>
      </c>
      <c r="F15" s="83">
        <f>-('Rentas de capital y No Laborale'!E57+'Rentas de capital y No Laborale'!E58)</f>
        <v>0</v>
      </c>
      <c r="G15" s="84" t="s">
        <v>136</v>
      </c>
      <c r="H15" s="507">
        <f t="shared" si="0"/>
        <v>0</v>
      </c>
      <c r="I15" s="796"/>
    </row>
    <row r="16" spans="1:9" ht="15.75" thickBot="1">
      <c r="A16" s="796"/>
      <c r="B16" s="6" t="s">
        <v>127</v>
      </c>
      <c r="C16" s="4" t="s">
        <v>136</v>
      </c>
      <c r="D16" s="4" t="s">
        <v>136</v>
      </c>
      <c r="E16" s="83">
        <f>-('Rentas de capital y No Laborale'!E21+'Rentas de capital y No Laborale'!E22)</f>
        <v>0</v>
      </c>
      <c r="F16" s="83">
        <f>-('Rentas de capital y No Laborale'!E59)</f>
        <v>0</v>
      </c>
      <c r="G16" s="84" t="s">
        <v>136</v>
      </c>
      <c r="H16" s="511">
        <f t="shared" si="0"/>
        <v>0</v>
      </c>
      <c r="I16" s="796"/>
    </row>
    <row r="17" spans="1:9" ht="15.75" thickBot="1">
      <c r="A17" s="796"/>
      <c r="B17" s="8" t="s">
        <v>128</v>
      </c>
      <c r="C17" s="512">
        <f>SUM(C13:C16)</f>
        <v>0</v>
      </c>
      <c r="D17" s="512">
        <f>SUM(D13:D16)</f>
        <v>0</v>
      </c>
      <c r="E17" s="512">
        <f t="shared" ref="E17:G17" si="1">SUM(E13:E16)</f>
        <v>0</v>
      </c>
      <c r="F17" s="512">
        <f t="shared" si="1"/>
        <v>0</v>
      </c>
      <c r="G17" s="512">
        <f t="shared" si="1"/>
        <v>0</v>
      </c>
      <c r="H17" s="513">
        <f t="shared" si="0"/>
        <v>0</v>
      </c>
      <c r="I17" s="796"/>
    </row>
    <row r="18" spans="1:9" ht="33" customHeight="1">
      <c r="A18" s="796"/>
      <c r="B18" s="5" t="s">
        <v>129</v>
      </c>
      <c r="C18" s="83">
        <f>-'Rentas de Trabajo y Pensiones'!E38</f>
        <v>0</v>
      </c>
      <c r="D18" s="84" t="s">
        <v>136</v>
      </c>
      <c r="E18" s="83">
        <f>-'Rentas de capital y No Laborale'!E27</f>
        <v>0</v>
      </c>
      <c r="F18" s="83">
        <f>-'Rentas de capital y No Laborale'!E66</f>
        <v>0</v>
      </c>
      <c r="G18" s="84" t="s">
        <v>136</v>
      </c>
      <c r="H18" s="507">
        <f t="shared" si="0"/>
        <v>0</v>
      </c>
      <c r="I18" s="796"/>
    </row>
    <row r="19" spans="1:9" ht="33" customHeight="1">
      <c r="A19" s="796"/>
      <c r="B19" s="5" t="s">
        <v>130</v>
      </c>
      <c r="C19" s="83">
        <f>-'Rentas de Trabajo y Pensiones'!E53</f>
        <v>0</v>
      </c>
      <c r="D19" s="83">
        <f>-('Rentas de Trabajo y Pensiones'!E65)</f>
        <v>0</v>
      </c>
      <c r="E19" s="83">
        <f>-'Rentas de capital y No Laborale'!E32</f>
        <v>0</v>
      </c>
      <c r="F19" s="83">
        <f>-'Rentas de capital y No Laborale'!E70</f>
        <v>0</v>
      </c>
      <c r="G19" s="84" t="s">
        <v>136</v>
      </c>
      <c r="H19" s="507">
        <f t="shared" si="0"/>
        <v>0</v>
      </c>
      <c r="I19" s="796"/>
    </row>
    <row r="20" spans="1:9" ht="33" customHeight="1">
      <c r="A20" s="796"/>
      <c r="B20" s="5" t="s">
        <v>131</v>
      </c>
      <c r="C20" s="83">
        <f>ROUND(('Rentas de Trabajo y Pensiones'!E57-'Rentas de Trabajo y Pensiones'!E58),-3)</f>
        <v>0</v>
      </c>
      <c r="D20" s="83">
        <v>0</v>
      </c>
      <c r="E20" s="83">
        <f>+'Rentas de capital y No Laborale'!E36-'Rentas de capital y No Laborale'!E37</f>
        <v>0</v>
      </c>
      <c r="F20" s="83">
        <f>+'Rentas de capital y No Laborale'!E74-'Rentas de capital y No Laborale'!E75</f>
        <v>0</v>
      </c>
      <c r="G20" s="84" t="s">
        <v>136</v>
      </c>
      <c r="H20" s="85">
        <f t="shared" si="0"/>
        <v>0</v>
      </c>
      <c r="I20" s="796"/>
    </row>
    <row r="21" spans="1:9" ht="33" customHeight="1">
      <c r="A21" s="796"/>
      <c r="B21" s="74" t="s">
        <v>132</v>
      </c>
      <c r="C21" s="514">
        <f>SUM(C17:C20)</f>
        <v>0</v>
      </c>
      <c r="D21" s="514">
        <f t="shared" ref="D21:G21" si="2">SUM(D17:D20)</f>
        <v>0</v>
      </c>
      <c r="E21" s="514">
        <f t="shared" si="2"/>
        <v>0</v>
      </c>
      <c r="F21" s="514">
        <f t="shared" si="2"/>
        <v>0</v>
      </c>
      <c r="G21" s="514">
        <f t="shared" si="2"/>
        <v>0</v>
      </c>
      <c r="H21" s="515">
        <f t="shared" si="0"/>
        <v>0</v>
      </c>
      <c r="I21" s="796"/>
    </row>
    <row r="22" spans="1:9" ht="16.5" customHeight="1">
      <c r="A22" s="796"/>
      <c r="B22" s="75" t="s">
        <v>133</v>
      </c>
      <c r="C22" s="802">
        <f>C21+D21</f>
        <v>0</v>
      </c>
      <c r="D22" s="803"/>
      <c r="E22" s="802">
        <f>E21+F21</f>
        <v>0</v>
      </c>
      <c r="F22" s="803"/>
      <c r="G22" s="637">
        <f>G21</f>
        <v>0</v>
      </c>
      <c r="H22" s="515">
        <f t="shared" si="0"/>
        <v>0</v>
      </c>
      <c r="I22" s="796"/>
    </row>
    <row r="23" spans="1:9" ht="16.5" customHeight="1" thickBot="1">
      <c r="A23" s="796"/>
      <c r="B23" s="7" t="s">
        <v>116</v>
      </c>
      <c r="C23" s="805">
        <f>'Rentas de Trabajo y Pensiones'!E77</f>
        <v>0</v>
      </c>
      <c r="D23" s="806"/>
      <c r="E23" s="805">
        <f>'Rentas de capital y No Laborale'!E87</f>
        <v>0</v>
      </c>
      <c r="F23" s="806"/>
      <c r="G23" s="639">
        <f>'Dividendos y Participaciones'!E45</f>
        <v>0</v>
      </c>
      <c r="H23" s="516">
        <f t="shared" si="0"/>
        <v>0</v>
      </c>
      <c r="I23" s="796"/>
    </row>
    <row r="24" spans="1:9" ht="16.5" customHeight="1" thickBot="1">
      <c r="A24" s="636"/>
      <c r="B24" s="526" t="s">
        <v>460</v>
      </c>
      <c r="C24" s="797">
        <f>+'Rentas de Trabajo y Pensiones'!E55</f>
        <v>0</v>
      </c>
      <c r="D24" s="798"/>
      <c r="E24" s="797">
        <f>+'Rentas de capital y No Laborale'!E34+'Rentas de capital y No Laborale'!E72</f>
        <v>0</v>
      </c>
      <c r="F24" s="798"/>
      <c r="G24" s="524">
        <f>+'Dividendos y Participaciones'!E20</f>
        <v>0</v>
      </c>
      <c r="H24" s="525">
        <f>SUM(C24:G24)</f>
        <v>0</v>
      </c>
      <c r="I24" s="636"/>
    </row>
    <row r="25" spans="1:9" ht="15.75" thickBot="1">
      <c r="A25" s="80"/>
      <c r="B25" s="804"/>
      <c r="C25" s="804"/>
      <c r="D25" s="804"/>
      <c r="E25" s="804"/>
      <c r="F25" s="804"/>
      <c r="G25" s="804"/>
      <c r="H25" s="804"/>
      <c r="I25" s="804"/>
    </row>
    <row r="26" spans="1:9" ht="15" customHeight="1" thickBot="1">
      <c r="A26" s="80"/>
      <c r="B26" s="793" t="s">
        <v>443</v>
      </c>
      <c r="C26" s="794"/>
      <c r="D26" s="794"/>
      <c r="E26" s="794"/>
      <c r="F26" s="794"/>
      <c r="G26" s="794"/>
      <c r="H26" s="795"/>
      <c r="I26" s="638"/>
    </row>
    <row r="27" spans="1:9" ht="32.25" customHeight="1" thickBot="1">
      <c r="A27" s="80"/>
      <c r="B27" s="76"/>
      <c r="C27" s="77" t="s">
        <v>114</v>
      </c>
      <c r="D27" s="78" t="s">
        <v>120</v>
      </c>
      <c r="E27" s="78" t="s">
        <v>121</v>
      </c>
      <c r="F27" s="78" t="s">
        <v>122</v>
      </c>
      <c r="G27" s="78" t="s">
        <v>123</v>
      </c>
      <c r="H27" s="79" t="s">
        <v>115</v>
      </c>
      <c r="I27" s="638"/>
    </row>
    <row r="28" spans="1:9" ht="15.75" thickBot="1">
      <c r="A28" s="80"/>
      <c r="B28" s="490" t="s">
        <v>444</v>
      </c>
      <c r="C28" s="491">
        <f>+'Rentas de Trabajo y Pensiones'!E53</f>
        <v>0</v>
      </c>
      <c r="D28" s="491">
        <f>+'Rentas de Trabajo y Pensiones'!E66</f>
        <v>0</v>
      </c>
      <c r="E28" s="491">
        <f>+'Rentas de capital y No Laborale'!E32</f>
        <v>0</v>
      </c>
      <c r="F28" s="491">
        <f>+'Rentas de capital y No Laborale'!E70</f>
        <v>0</v>
      </c>
      <c r="G28" s="491">
        <v>0</v>
      </c>
      <c r="H28" s="492">
        <f>SUM(C28:G28)</f>
        <v>0</v>
      </c>
      <c r="I28" s="638"/>
    </row>
    <row r="29" spans="1:9" ht="15.75" thickBot="1">
      <c r="A29" s="80"/>
      <c r="B29" s="490" t="s">
        <v>445</v>
      </c>
      <c r="C29" s="491">
        <f>+'Rentas de Trabajo y Pensiones'!E57</f>
        <v>0</v>
      </c>
      <c r="D29" s="491">
        <f>+'Rentas de Trabajo y Pensiones'!E67</f>
        <v>0</v>
      </c>
      <c r="E29" s="491">
        <f>+'Rentas de capital y No Laborale'!E36</f>
        <v>0</v>
      </c>
      <c r="F29" s="491">
        <f>+'Rentas de capital y No Laborale'!E74</f>
        <v>0</v>
      </c>
      <c r="G29" s="491">
        <v>0</v>
      </c>
      <c r="H29" s="492">
        <f>SUM(C29:G29)</f>
        <v>0</v>
      </c>
      <c r="I29" s="638"/>
    </row>
    <row r="30" spans="1:9" ht="15.75" thickBot="1">
      <c r="A30" s="80"/>
      <c r="B30" s="497" t="s">
        <v>446</v>
      </c>
      <c r="C30" s="500">
        <f>+IF(C29&gt;0,C28/C29,0)</f>
        <v>0</v>
      </c>
      <c r="D30" s="500">
        <f t="shared" ref="D30:H30" si="3">+IF(D29&gt;0,D28/D29,0)</f>
        <v>0</v>
      </c>
      <c r="E30" s="500">
        <f t="shared" si="3"/>
        <v>0</v>
      </c>
      <c r="F30" s="500">
        <f t="shared" si="3"/>
        <v>0</v>
      </c>
      <c r="G30" s="500">
        <f t="shared" si="3"/>
        <v>0</v>
      </c>
      <c r="H30" s="500">
        <f t="shared" si="3"/>
        <v>0</v>
      </c>
      <c r="I30" s="638"/>
    </row>
    <row r="31" spans="1:9" ht="15.75" thickBot="1">
      <c r="A31" s="80"/>
      <c r="B31" s="490" t="s">
        <v>447</v>
      </c>
      <c r="C31" s="491">
        <f>+'Rentas de Trabajo y Pensiones'!E58</f>
        <v>0</v>
      </c>
      <c r="D31" s="491">
        <f>+'Rentas de Trabajo y Pensiones'!E67</f>
        <v>0</v>
      </c>
      <c r="E31" s="491">
        <f>+'Rentas de capital y No Laborale'!E37</f>
        <v>0</v>
      </c>
      <c r="F31" s="491">
        <f>+'Rentas de capital y No Laborale'!E75</f>
        <v>0</v>
      </c>
      <c r="G31" s="491">
        <f>+'Rentas de capital y No Laborale'!F75</f>
        <v>0</v>
      </c>
      <c r="H31" s="493"/>
      <c r="I31" s="638"/>
    </row>
    <row r="32" spans="1:9" ht="15.75" thickBot="1">
      <c r="A32" s="80"/>
      <c r="B32" s="497" t="s">
        <v>448</v>
      </c>
      <c r="C32" s="498">
        <f>+ROUND(C31*C30,-3)</f>
        <v>0</v>
      </c>
      <c r="D32" s="498">
        <f>+ROUND(D31*D30,-3)</f>
        <v>0</v>
      </c>
      <c r="E32" s="498">
        <f>+ROUND(E31*E30,-3)</f>
        <v>0</v>
      </c>
      <c r="F32" s="498">
        <f>+ROUND(F31*F30,-3)</f>
        <v>0</v>
      </c>
      <c r="G32" s="498">
        <f>+ROUND(G31*G30,-3)</f>
        <v>0</v>
      </c>
      <c r="H32" s="499">
        <f>SUM(C32:G32)</f>
        <v>0</v>
      </c>
      <c r="I32" s="638"/>
    </row>
    <row r="33" spans="1:9" ht="18" customHeight="1" thickBot="1">
      <c r="A33" s="80"/>
      <c r="B33" s="638"/>
      <c r="C33" s="638"/>
      <c r="D33" s="638"/>
      <c r="E33" s="638"/>
      <c r="F33" s="638"/>
      <c r="G33" s="638"/>
      <c r="H33" s="638"/>
      <c r="I33" s="636"/>
    </row>
    <row r="34" spans="1:9" ht="18" customHeight="1">
      <c r="A34" s="80"/>
      <c r="B34" s="787" t="s">
        <v>134</v>
      </c>
      <c r="C34" s="788"/>
      <c r="D34" s="789"/>
      <c r="E34" s="785">
        <f>'Ingresos que NO son declarables'!E11+'Ingresos que NO son declarables'!E12</f>
        <v>0</v>
      </c>
      <c r="F34" s="786"/>
      <c r="G34" s="505"/>
      <c r="H34" s="636"/>
      <c r="I34" s="636"/>
    </row>
    <row r="35" spans="1:9" ht="18" customHeight="1">
      <c r="A35" s="80"/>
      <c r="B35" s="790" t="s">
        <v>137</v>
      </c>
      <c r="C35" s="791"/>
      <c r="D35" s="792"/>
      <c r="E35" s="778">
        <f>'Imp. Ganancia Ocasional'!E12</f>
        <v>0</v>
      </c>
      <c r="F35" s="779"/>
      <c r="G35" s="505"/>
      <c r="H35" s="636"/>
      <c r="I35" s="636"/>
    </row>
    <row r="36" spans="1:9" ht="15.75" thickBot="1">
      <c r="A36" s="80"/>
      <c r="B36" s="775" t="s">
        <v>135</v>
      </c>
      <c r="C36" s="776"/>
      <c r="D36" s="777"/>
      <c r="E36" s="780">
        <f>'Imp. Ganancia Ocasional'!E40</f>
        <v>0</v>
      </c>
      <c r="F36" s="781"/>
      <c r="G36" s="505"/>
      <c r="H36" s="636"/>
      <c r="I36" s="80"/>
    </row>
    <row r="37" spans="1:9" ht="15.75" thickBot="1">
      <c r="A37" s="80"/>
      <c r="B37" s="80"/>
      <c r="C37" s="80"/>
      <c r="D37" s="80"/>
      <c r="E37" s="80"/>
      <c r="F37" s="80"/>
      <c r="G37" s="80"/>
      <c r="H37" s="80"/>
      <c r="I37" s="80"/>
    </row>
    <row r="38" spans="1:9" ht="15" customHeight="1">
      <c r="A38" s="80"/>
      <c r="B38" s="125" t="s">
        <v>330</v>
      </c>
      <c r="C38" s="126"/>
      <c r="D38" s="81" t="s">
        <v>76</v>
      </c>
      <c r="E38" s="82" t="s">
        <v>327</v>
      </c>
      <c r="F38" s="82" t="s">
        <v>328</v>
      </c>
      <c r="G38" s="782" t="s">
        <v>329</v>
      </c>
      <c r="H38" s="782" t="s">
        <v>337</v>
      </c>
      <c r="I38" s="80"/>
    </row>
    <row r="39" spans="1:9">
      <c r="A39" s="80"/>
      <c r="B39" s="122" t="s">
        <v>325</v>
      </c>
      <c r="C39" s="127"/>
      <c r="D39" s="535">
        <f>+'Tabla Renta y Retefte'!B12</f>
        <v>1090</v>
      </c>
      <c r="E39" s="536">
        <f>ROUND(D39*UVT,-3)</f>
        <v>34726000</v>
      </c>
      <c r="F39" s="536">
        <f>ROUND(E39/3.5%,-3)</f>
        <v>992171000</v>
      </c>
      <c r="G39" s="783"/>
      <c r="H39" s="783"/>
      <c r="I39" s="80"/>
    </row>
    <row r="40" spans="1:9" ht="15.75" thickBot="1">
      <c r="A40" s="80"/>
      <c r="B40" s="123" t="s">
        <v>326</v>
      </c>
      <c r="C40" s="128"/>
      <c r="D40" s="128">
        <f>+'Tabla Renta y Retefte'!G12</f>
        <v>600</v>
      </c>
      <c r="E40" s="129">
        <f>ROUND(D40*UVT,-3)</f>
        <v>19115000</v>
      </c>
      <c r="F40" s="129">
        <f>ROUND(E40/3.5%,-3)</f>
        <v>546143000</v>
      </c>
      <c r="G40" s="784"/>
      <c r="H40" s="784"/>
      <c r="I40" s="80"/>
    </row>
    <row r="41" spans="1:9" hidden="1">
      <c r="B41" s="80"/>
      <c r="C41" s="80"/>
      <c r="D41" s="80"/>
      <c r="E41" s="80"/>
      <c r="F41" s="80"/>
      <c r="G41" s="80"/>
      <c r="H41" s="80"/>
    </row>
    <row r="42" spans="1:9" hidden="1"/>
    <row r="43" spans="1:9" hidden="1"/>
  </sheetData>
  <sheetProtection algorithmName="SHA-512" hashValue="L40RPsCWW/3I83uXC0iEkDeroeyDSSgN5WuGagErvDC+i0f5Ey/O7TMLOfrnUwXF2E67+rCF/Byjm6E84MWrUA==" saltValue="sbvx4Kf2+PoetYD3kjTciw==" spinCount="100000" sheet="1" objects="1" scenarios="1"/>
  <mergeCells count="19">
    <mergeCell ref="B9:I9"/>
    <mergeCell ref="C22:D22"/>
    <mergeCell ref="E22:F22"/>
    <mergeCell ref="B25:I25"/>
    <mergeCell ref="I12:I23"/>
    <mergeCell ref="C23:D23"/>
    <mergeCell ref="E23:F23"/>
    <mergeCell ref="E34:F34"/>
    <mergeCell ref="B34:D34"/>
    <mergeCell ref="B35:D35"/>
    <mergeCell ref="B26:H26"/>
    <mergeCell ref="A12:A23"/>
    <mergeCell ref="C24:D24"/>
    <mergeCell ref="E24:F24"/>
    <mergeCell ref="B36:D36"/>
    <mergeCell ref="E35:F35"/>
    <mergeCell ref="E36:F36"/>
    <mergeCell ref="H38:H40"/>
    <mergeCell ref="G38:G40"/>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Datos Contribuyente y Detalles</vt:lpstr>
      <vt:lpstr>Renta Presuntiva</vt:lpstr>
      <vt:lpstr>Conciliacion patrimonial</vt:lpstr>
      <vt:lpstr>Rentas de Trabajo y Pensiones</vt:lpstr>
      <vt:lpstr>Rentas de capital y No Laborale</vt:lpstr>
      <vt:lpstr>Dividendos y Participaciones</vt:lpstr>
      <vt:lpstr>Imp. Ganancia Ocasional</vt:lpstr>
      <vt:lpstr>Ingresos que NO son declarables</vt:lpstr>
      <vt:lpstr>Resumen Tributario</vt:lpstr>
      <vt:lpstr>Anticipos y Otros</vt:lpstr>
      <vt:lpstr>Formulario 210</vt:lpstr>
      <vt:lpstr>UVT</vt:lpstr>
      <vt:lpstr>Tabla Renta y Retefte</vt:lpstr>
      <vt:lpstr>CE</vt:lpstr>
      <vt:lpstr>G</vt:lpstr>
      <vt:lpstr>SM</vt:lpstr>
      <vt:lpstr>UVT</vt:lpstr>
      <vt:lpstr>UVTold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2018-07-09T20:25:23Z</cp:lastPrinted>
  <dcterms:created xsi:type="dcterms:W3CDTF">2018-04-17T13:28:51Z</dcterms:created>
  <dcterms:modified xsi:type="dcterms:W3CDTF">2018-09-11T17:10:11Z</dcterms:modified>
</cp:coreProperties>
</file>